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iotr.kocaj\Desktop\01 '26\B info o stopie bezrobocia\B1 wojewódzka\"/>
    </mc:Choice>
  </mc:AlternateContent>
  <xr:revisionPtr revIDLastSave="0" documentId="13_ncr:1_{5647F768-98F3-4928-9FE2-89054E1F3D69}" xr6:coauthVersionLast="47" xr6:coauthVersionMax="47" xr10:uidLastSave="{00000000-0000-0000-0000-000000000000}"/>
  <bookViews>
    <workbookView xWindow="-120" yWindow="-120" windowWidth="29040" windowHeight="15720" tabRatio="949" xr2:uid="{00000000-000D-0000-FFFF-FFFF00000000}"/>
  </bookViews>
  <sheets>
    <sheet name="b.Pol" sheetId="8" r:id="rId1"/>
    <sheet name="1sort" sheetId="16" r:id="rId2"/>
    <sheet name="1998-2024" sheetId="29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38" i="29" l="1"/>
  <c r="H38" i="29"/>
  <c r="I38" i="29"/>
  <c r="B20" i="16"/>
  <c r="B19" i="16"/>
  <c r="B18" i="16"/>
  <c r="B17" i="16"/>
  <c r="B16" i="16"/>
  <c r="B15" i="16"/>
  <c r="B14" i="16"/>
  <c r="B13" i="16"/>
  <c r="B12" i="16"/>
  <c r="B11" i="16"/>
  <c r="B10" i="16"/>
  <c r="B9" i="16"/>
  <c r="B8" i="16"/>
  <c r="B7" i="16"/>
  <c r="B6" i="16"/>
  <c r="B5" i="16"/>
  <c r="B4" i="16"/>
  <c r="C16" i="16" l="1"/>
  <c r="C10" i="16"/>
  <c r="C17" i="16"/>
  <c r="C8" i="16"/>
  <c r="C7" i="16"/>
  <c r="G7" i="8"/>
  <c r="E7" i="8"/>
  <c r="G37" i="29"/>
  <c r="H37" i="29"/>
  <c r="I37" i="29"/>
  <c r="I36" i="29"/>
  <c r="I11" i="29"/>
  <c r="G11" i="29"/>
  <c r="H11" i="29"/>
  <c r="H36" i="29"/>
  <c r="H35" i="29"/>
  <c r="H34" i="29"/>
  <c r="H33" i="29"/>
  <c r="H32" i="29"/>
  <c r="H31" i="29"/>
  <c r="H30" i="29"/>
  <c r="H29" i="29"/>
  <c r="H28" i="29"/>
  <c r="H27" i="29"/>
  <c r="H26" i="29"/>
  <c r="H25" i="29"/>
  <c r="H24" i="29"/>
  <c r="H23" i="29"/>
  <c r="H22" i="29"/>
  <c r="H21" i="29"/>
  <c r="H20" i="29"/>
  <c r="H19" i="29"/>
  <c r="H18" i="29"/>
  <c r="H17" i="29"/>
  <c r="H16" i="29"/>
  <c r="H15" i="29"/>
  <c r="H14" i="29"/>
  <c r="H13" i="29"/>
  <c r="H12" i="29"/>
  <c r="G12" i="8"/>
  <c r="G19" i="8"/>
  <c r="G18" i="8"/>
  <c r="G17" i="8"/>
  <c r="G16" i="8"/>
  <c r="G15" i="8"/>
  <c r="G14" i="8"/>
  <c r="G13" i="8"/>
  <c r="G11" i="8"/>
  <c r="G10" i="8"/>
  <c r="G9" i="8"/>
  <c r="G8" i="8"/>
  <c r="G6" i="8"/>
  <c r="G5" i="8"/>
  <c r="G4" i="8"/>
  <c r="G3" i="8"/>
  <c r="E12" i="8"/>
  <c r="E19" i="8"/>
  <c r="E18" i="8"/>
  <c r="E17" i="8"/>
  <c r="E16" i="8"/>
  <c r="E15" i="8"/>
  <c r="E14" i="8"/>
  <c r="E13" i="8"/>
  <c r="E11" i="8"/>
  <c r="E10" i="8"/>
  <c r="E9" i="8"/>
  <c r="E8" i="8"/>
  <c r="E6" i="8"/>
  <c r="E5" i="8"/>
  <c r="E4" i="8"/>
  <c r="E3" i="8"/>
  <c r="C15" i="16" l="1"/>
  <c r="C11" i="16"/>
  <c r="C6" i="16"/>
  <c r="C9" i="16"/>
  <c r="C12" i="16"/>
  <c r="C13" i="16"/>
  <c r="C14" i="16"/>
  <c r="C5" i="16"/>
  <c r="C4" i="16"/>
  <c r="C18" i="16"/>
  <c r="C19" i="16"/>
  <c r="C20" i="16"/>
  <c r="D11" i="16"/>
  <c r="E11" i="16"/>
  <c r="F11" i="16"/>
  <c r="G11" i="16"/>
  <c r="H11" i="16"/>
  <c r="D14" i="16"/>
  <c r="I29" i="29"/>
  <c r="G29" i="29"/>
  <c r="G36" i="29"/>
  <c r="I35" i="29"/>
  <c r="G35" i="29"/>
  <c r="I34" i="29"/>
  <c r="G34" i="29"/>
  <c r="I33" i="29"/>
  <c r="G33" i="29"/>
  <c r="I32" i="29"/>
  <c r="G32" i="29"/>
  <c r="I31" i="29"/>
  <c r="G31" i="29"/>
  <c r="I30" i="29"/>
  <c r="G30" i="29"/>
  <c r="I28" i="29"/>
  <c r="G28" i="29"/>
  <c r="I27" i="29"/>
  <c r="G27" i="29"/>
  <c r="I26" i="29"/>
  <c r="G26" i="29"/>
  <c r="I25" i="29"/>
  <c r="G25" i="29"/>
  <c r="I24" i="29"/>
  <c r="G24" i="29"/>
  <c r="I23" i="29"/>
  <c r="G23" i="29"/>
  <c r="I22" i="29"/>
  <c r="G22" i="29"/>
  <c r="I21" i="29"/>
  <c r="G21" i="29"/>
  <c r="I20" i="29"/>
  <c r="G20" i="29"/>
  <c r="I19" i="29"/>
  <c r="G19" i="29"/>
  <c r="I18" i="29"/>
  <c r="G18" i="29"/>
  <c r="I17" i="29"/>
  <c r="G17" i="29"/>
  <c r="I16" i="29"/>
  <c r="G16" i="29"/>
  <c r="I15" i="29"/>
  <c r="G15" i="29"/>
  <c r="I14" i="29"/>
  <c r="G14" i="29"/>
  <c r="I13" i="29"/>
  <c r="G13" i="29"/>
  <c r="I12" i="29"/>
  <c r="G12" i="29"/>
  <c r="B21" i="16"/>
  <c r="G4" i="16" l="1"/>
  <c r="D10" i="16"/>
  <c r="H9" i="16"/>
  <c r="F4" i="16"/>
  <c r="D17" i="16"/>
  <c r="H5" i="16"/>
  <c r="H20" i="16"/>
  <c r="D9" i="16"/>
  <c r="H17" i="16"/>
  <c r="E8" i="16"/>
  <c r="E16" i="16"/>
  <c r="F19" i="16"/>
  <c r="G10" i="16"/>
  <c r="G18" i="16"/>
  <c r="H13" i="16"/>
  <c r="D18" i="16"/>
  <c r="E9" i="16"/>
  <c r="E17" i="16"/>
  <c r="F8" i="16"/>
  <c r="F16" i="16"/>
  <c r="F20" i="16"/>
  <c r="G15" i="16"/>
  <c r="G19" i="16"/>
  <c r="H10" i="16"/>
  <c r="H14" i="16"/>
  <c r="H18" i="16"/>
  <c r="D7" i="16"/>
  <c r="D15" i="16"/>
  <c r="D19" i="16"/>
  <c r="E6" i="16"/>
  <c r="E10" i="16"/>
  <c r="E14" i="16"/>
  <c r="E18" i="16"/>
  <c r="F5" i="16"/>
  <c r="F9" i="16"/>
  <c r="F13" i="16"/>
  <c r="F17" i="16"/>
  <c r="G8" i="16"/>
  <c r="G12" i="16"/>
  <c r="G16" i="16"/>
  <c r="G20" i="16"/>
  <c r="H7" i="16"/>
  <c r="H15" i="16"/>
  <c r="H19" i="16"/>
  <c r="D5" i="16"/>
  <c r="D13" i="16"/>
  <c r="E4" i="16"/>
  <c r="E12" i="16"/>
  <c r="E20" i="16"/>
  <c r="F7" i="16"/>
  <c r="F15" i="16"/>
  <c r="G6" i="16"/>
  <c r="G14" i="16"/>
  <c r="D6" i="16"/>
  <c r="E5" i="16"/>
  <c r="E13" i="16"/>
  <c r="F12" i="16"/>
  <c r="G7" i="16"/>
  <c r="H6" i="16"/>
  <c r="D4" i="16"/>
  <c r="D8" i="16"/>
  <c r="D12" i="16"/>
  <c r="D16" i="16"/>
  <c r="D20" i="16"/>
  <c r="E7" i="16"/>
  <c r="E15" i="16"/>
  <c r="E19" i="16"/>
  <c r="F6" i="16"/>
  <c r="F10" i="16"/>
  <c r="F14" i="16"/>
  <c r="F18" i="16"/>
  <c r="G5" i="16"/>
  <c r="G9" i="16"/>
  <c r="G13" i="16"/>
  <c r="G17" i="16"/>
  <c r="H4" i="16"/>
  <c r="H8" i="16"/>
  <c r="H12" i="16"/>
  <c r="H16" i="16"/>
  <c r="H3" i="16"/>
  <c r="G3" i="16"/>
  <c r="F3" i="16"/>
  <c r="E3" i="16"/>
  <c r="D3" i="16"/>
  <c r="C3" i="16"/>
</calcChain>
</file>

<file path=xl/sharedStrings.xml><?xml version="1.0" encoding="utf-8"?>
<sst xmlns="http://schemas.openxmlformats.org/spreadsheetml/2006/main" count="116" uniqueCount="112">
  <si>
    <t>powiaty</t>
  </si>
  <si>
    <t>POLSKA</t>
  </si>
  <si>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</si>
  <si>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</si>
  <si>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</si>
  <si>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</si>
  <si>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</si>
  <si>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</si>
  <si>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</si>
  <si>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</si>
  <si>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</si>
  <si>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</si>
  <si>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</si>
  <si>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</si>
  <si>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</si>
  <si>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</si>
  <si>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</si>
  <si>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</si>
  <si>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wzrost lub spadek do poprzedniego miesiąca (pkt. proc.)</t>
  </si>
  <si>
    <t>lokata</t>
  </si>
  <si>
    <t>Stopa bezrobocia rejestrowanego - wg województw</t>
  </si>
  <si>
    <t>wzrost lub spadek do początku roku (pkt. proc.)</t>
  </si>
  <si>
    <t>Stopa bezrobocia [proc.]</t>
  </si>
  <si>
    <t>Liczba bezrobotnych</t>
  </si>
  <si>
    <t>stan na</t>
  </si>
  <si>
    <t>bezrobotni ogółem</t>
  </si>
  <si>
    <t>w tym kobiety</t>
  </si>
  <si>
    <t>w tym mężczyźni</t>
  </si>
  <si>
    <t>proc. kobiet</t>
  </si>
  <si>
    <t>proc. mężczyzn</t>
  </si>
  <si>
    <t xml:space="preserve">stan na </t>
  </si>
  <si>
    <t>Polska</t>
  </si>
  <si>
    <t>podkarpackie</t>
  </si>
  <si>
    <t>31XII90</t>
  </si>
  <si>
    <t>31XII91</t>
  </si>
  <si>
    <t>31XII92</t>
  </si>
  <si>
    <t>31XII93</t>
  </si>
  <si>
    <t>31XII94</t>
  </si>
  <si>
    <t>31XII95</t>
  </si>
  <si>
    <t>31XII96</t>
  </si>
  <si>
    <t>31XII97</t>
  </si>
  <si>
    <t>31XII98</t>
  </si>
  <si>
    <t>31XII99</t>
  </si>
  <si>
    <t>31XII00</t>
  </si>
  <si>
    <t>31XII01</t>
  </si>
  <si>
    <t>31XII02</t>
  </si>
  <si>
    <t>31XII03</t>
  </si>
  <si>
    <t>31XII04</t>
  </si>
  <si>
    <t>31XII05</t>
  </si>
  <si>
    <t>31XII06</t>
  </si>
  <si>
    <t>31XII07</t>
  </si>
  <si>
    <t>31XII08</t>
  </si>
  <si>
    <t>31XII09</t>
  </si>
  <si>
    <t>31XII10</t>
  </si>
  <si>
    <t>31XII11</t>
  </si>
  <si>
    <t>31XII12</t>
  </si>
  <si>
    <t>31XII13</t>
  </si>
  <si>
    <t>31XII14</t>
  </si>
  <si>
    <t>31XII15</t>
  </si>
  <si>
    <t>31XII16</t>
  </si>
  <si>
    <t>31XII17</t>
  </si>
  <si>
    <t>31XII18</t>
  </si>
  <si>
    <t>31XII19</t>
  </si>
  <si>
    <t>31XII20</t>
  </si>
  <si>
    <t>31XII21</t>
  </si>
  <si>
    <t>31XII22</t>
  </si>
  <si>
    <t>31XII23</t>
  </si>
  <si>
    <t>31XII24</t>
  </si>
  <si>
    <t>31I90</t>
  </si>
  <si>
    <t>31I91</t>
  </si>
  <si>
    <t>31I92</t>
  </si>
  <si>
    <t>31I93</t>
  </si>
  <si>
    <t>31I94</t>
  </si>
  <si>
    <t>31I95</t>
  </si>
  <si>
    <t>31I96</t>
  </si>
  <si>
    <t>31I97</t>
  </si>
  <si>
    <t>31I98</t>
  </si>
  <si>
    <t>31I99</t>
  </si>
  <si>
    <t>31I00</t>
  </si>
  <si>
    <t>31I01</t>
  </si>
  <si>
    <t>31I04</t>
  </si>
  <si>
    <t>31I02</t>
  </si>
  <si>
    <t>31I03</t>
  </si>
  <si>
    <t>31I05</t>
  </si>
  <si>
    <t>31I06</t>
  </si>
  <si>
    <t>31I07</t>
  </si>
  <si>
    <t>31I08</t>
  </si>
  <si>
    <t>31I09</t>
  </si>
  <si>
    <t>31I10</t>
  </si>
  <si>
    <t>31I11</t>
  </si>
  <si>
    <t>31I12</t>
  </si>
  <si>
    <t>31I13</t>
  </si>
  <si>
    <t>31I14</t>
  </si>
  <si>
    <t>31I15</t>
  </si>
  <si>
    <t>31I16</t>
  </si>
  <si>
    <t>31I17</t>
  </si>
  <si>
    <t>31I18</t>
  </si>
  <si>
    <t>31I19</t>
  </si>
  <si>
    <t>31I20</t>
  </si>
  <si>
    <t>31I21</t>
  </si>
  <si>
    <t>31I22</t>
  </si>
  <si>
    <t>31I23</t>
  </si>
  <si>
    <t>31I24</t>
  </si>
  <si>
    <t>Stopa bezrobocia [proc.] *</t>
  </si>
  <si>
    <t>*  Stopa bezrobocia w stosunku do osób aktywnych zawodowo tj. bezrobotnych i pracujących.</t>
  </si>
  <si>
    <t>31XII25</t>
  </si>
  <si>
    <t>Stopa bezrobocia stan na 31-12-'25 r. (w proc.)*</t>
  </si>
  <si>
    <t>31I25</t>
  </si>
  <si>
    <t>** Dane po korekcie GUS</t>
  </si>
  <si>
    <t>Stopa bezrobocia stan na 31-01-'26 r. (w proc.)</t>
  </si>
  <si>
    <t>Stopa bezrobocia stan na 31-01-'25 r. (w proc.)**</t>
  </si>
  <si>
    <t xml:space="preserve">GUS, Bank Danych Lokalnych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</si>
</sst>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.0"/>
    <numFmt numFmtId="166" formatCode="General_)"/>
  </numFmts>
  <fonts count="17" x14ac:knownFonts="1">
    <font>
      <sz val="11"/>
      <color theme="1"/>
      <name val="Calibri"/>
      <family val="2"/>
      <charset val="238"/>
      <scheme val="minor"/>
    </font>
    <font>
      <sz val="9"/>
      <color rgb="FF000000"/>
      <name val="Arial"/>
      <family val="2"/>
      <charset val="238"/>
    </font>
    <font>
      <sz val="11"/>
      <color theme="1"/>
      <name val="Arial"/>
      <family val="2"/>
      <charset val="238"/>
    </font>
    <font>
      <sz val="11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u/>
      <sz val="8"/>
      <color theme="10"/>
      <name val="Arial"/>
      <family val="2"/>
      <charset val="238"/>
    </font>
    <font>
      <sz val="9"/>
      <color theme="1"/>
      <name val="Arial"/>
      <family val="2"/>
      <charset val="238"/>
    </font>
    <font>
      <sz val="11"/>
      <color rgb="FF000000"/>
      <name val="Calibri"/>
      <family val="2"/>
      <charset val="238"/>
    </font>
    <font>
      <sz val="16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Times"/>
      <charset val="238"/>
    </font>
    <font>
      <i/>
      <sz val="11"/>
      <color theme="1"/>
      <name val="Times"/>
      <charset val="238"/>
    </font>
    <font>
      <sz val="11"/>
      <color theme="1"/>
      <name val="Times"/>
      <charset val="238"/>
    </font>
    <font>
      <sz val="11"/>
      <color rgb="FFFF000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lightGray">
        <fgColor rgb="FF41AAC3"/>
        <bgColor theme="9" tint="0.79998168889431442"/>
      </patternFill>
    </fill>
    <fill>
      <patternFill patternType="solid">
        <fgColor rgb="FFD3D3D3"/>
      </patternFill>
    </fill>
    <fill>
      <patternFill patternType="solid">
        <fgColor theme="7" tint="0.39997558519241921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 diagonalUp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0" fontId="1" fillId="0" borderId="0">
      <alignment horizontal="right" vertical="center"/>
    </xf>
    <xf numFmtId="0" fontId="7" fillId="0" borderId="0" applyNumberFormat="0" applyFill="0" applyBorder="0" applyAlignment="0" applyProtection="0"/>
    <xf numFmtId="0" fontId="1" fillId="0" borderId="0">
      <alignment horizontal="center" vertical="center"/>
    </xf>
    <xf numFmtId="0" fontId="1" fillId="0" borderId="0">
      <alignment horizontal="left" vertical="center"/>
    </xf>
    <xf numFmtId="0" fontId="10" fillId="5" borderId="16">
      <alignment horizontal="left" vertical="center" wrapText="1"/>
    </xf>
    <xf numFmtId="0" fontId="12" fillId="6" borderId="0" applyNumberFormat="0" applyBorder="0" applyAlignment="0" applyProtection="0"/>
    <xf numFmtId="0" fontId="12" fillId="0" borderId="0"/>
  </cellStyleXfs>
  <cellXfs count="96">
    <xf numFmtId="0" fontId="0" fillId="0" borderId="0" xfId="0"/>
    <xf numFmtId="0" fontId="2" fillId="2" borderId="0" xfId="0" applyFont="1" applyFill="1" applyAlignment="1">
      <alignment horizontal="left" vertical="center"/>
    </xf>
    <xf numFmtId="0" fontId="2" fillId="2" borderId="0" xfId="0" applyFont="1" applyFill="1"/>
    <xf numFmtId="0" fontId="3" fillId="2" borderId="1" xfId="0" applyFont="1" applyFill="1" applyBorder="1"/>
    <xf numFmtId="3" fontId="2" fillId="2" borderId="1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/>
    <xf numFmtId="0" fontId="5" fillId="2" borderId="0" xfId="0" applyFont="1" applyFill="1" applyAlignment="1">
      <alignment vertical="center"/>
    </xf>
    <xf numFmtId="0" fontId="2" fillId="2" borderId="0" xfId="0" applyNumberFormat="1" applyFont="1" applyFill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5" fillId="2" borderId="1" xfId="0" applyNumberFormat="1" applyFont="1" applyFill="1" applyBorder="1" applyAlignment="1">
      <alignment horizontal="left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164" fontId="2" fillId="2" borderId="0" xfId="0" applyNumberFormat="1" applyFont="1" applyFill="1" applyAlignment="1">
      <alignment horizontal="center" vertical="center"/>
    </xf>
    <xf numFmtId="0" fontId="2" fillId="0" borderId="1" xfId="0" applyFont="1" applyFill="1" applyBorder="1"/>
    <xf numFmtId="164" fontId="2" fillId="0" borderId="1" xfId="0" applyNumberFormat="1" applyFont="1" applyFill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 wrapText="1"/>
    </xf>
    <xf numFmtId="0" fontId="6" fillId="2" borderId="0" xfId="0" applyFont="1" applyFill="1"/>
    <xf numFmtId="0" fontId="8" fillId="2" borderId="0" xfId="2" applyFont="1" applyFill="1"/>
    <xf numFmtId="15" fontId="3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NumberFormat="1" applyFont="1" applyFill="1" applyBorder="1" applyAlignment="1">
      <alignment horizontal="center" vertical="center" wrapText="1"/>
    </xf>
    <xf numFmtId="0" fontId="2" fillId="4" borderId="1" xfId="0" applyNumberFormat="1" applyFont="1" applyFill="1" applyBorder="1" applyAlignment="1">
      <alignment horizontal="center" vertical="center" wrapText="1"/>
    </xf>
    <xf numFmtId="164" fontId="2" fillId="4" borderId="1" xfId="0" applyNumberFormat="1" applyFont="1" applyFill="1" applyBorder="1" applyAlignment="1">
      <alignment horizontal="center" vertical="center" wrapText="1"/>
    </xf>
    <xf numFmtId="164" fontId="5" fillId="4" borderId="1" xfId="0" applyNumberFormat="1" applyFont="1" applyFill="1" applyBorder="1" applyAlignment="1">
      <alignment horizontal="center" vertical="center" wrapText="1"/>
    </xf>
    <xf numFmtId="15" fontId="2" fillId="3" borderId="1" xfId="0" applyNumberFormat="1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right" vertical="center"/>
    </xf>
    <xf numFmtId="0" fontId="9" fillId="2" borderId="0" xfId="0" applyFont="1" applyFill="1"/>
    <xf numFmtId="0" fontId="6" fillId="2" borderId="0" xfId="0" applyFont="1" applyFill="1" applyAlignment="1">
      <alignment horizontal="right" vertical="center"/>
    </xf>
    <xf numFmtId="164" fontId="9" fillId="2" borderId="1" xfId="0" applyNumberFormat="1" applyFont="1" applyFill="1" applyBorder="1" applyAlignment="1">
      <alignment horizontal="center" vertical="center"/>
    </xf>
    <xf numFmtId="3" fontId="9" fillId="2" borderId="1" xfId="0" applyNumberFormat="1" applyFont="1" applyFill="1" applyBorder="1" applyAlignment="1">
      <alignment horizontal="center" vertical="center"/>
    </xf>
    <xf numFmtId="164" fontId="9" fillId="0" borderId="1" xfId="0" applyNumberFormat="1" applyFont="1" applyBorder="1" applyAlignment="1">
      <alignment horizontal="center" vertical="center"/>
    </xf>
    <xf numFmtId="3" fontId="9" fillId="0" borderId="1" xfId="0" applyNumberFormat="1" applyFont="1" applyBorder="1" applyAlignment="1">
      <alignment horizontal="center" vertical="center"/>
    </xf>
    <xf numFmtId="165" fontId="9" fillId="0" borderId="1" xfId="0" applyNumberFormat="1" applyFont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/>
    </xf>
    <xf numFmtId="164" fontId="5" fillId="2" borderId="0" xfId="0" applyNumberFormat="1" applyFont="1" applyFill="1" applyAlignment="1">
      <alignment horizontal="center" vertical="center"/>
    </xf>
    <xf numFmtId="3" fontId="9" fillId="3" borderId="3" xfId="0" applyNumberFormat="1" applyFont="1" applyFill="1" applyBorder="1" applyAlignment="1">
      <alignment horizontal="center" vertical="center"/>
    </xf>
    <xf numFmtId="3" fontId="9" fillId="3" borderId="4" xfId="0" applyNumberFormat="1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3" fontId="9" fillId="2" borderId="8" xfId="0" applyNumberFormat="1" applyFont="1" applyFill="1" applyBorder="1" applyAlignment="1">
      <alignment horizontal="center" vertical="center"/>
    </xf>
    <xf numFmtId="164" fontId="9" fillId="2" borderId="9" xfId="0" applyNumberFormat="1" applyFont="1" applyFill="1" applyBorder="1" applyAlignment="1">
      <alignment horizontal="center" vertical="center"/>
    </xf>
    <xf numFmtId="164" fontId="9" fillId="0" borderId="9" xfId="0" applyNumberFormat="1" applyFont="1" applyBorder="1" applyAlignment="1">
      <alignment horizontal="center" vertical="center"/>
    </xf>
    <xf numFmtId="3" fontId="9" fillId="0" borderId="8" xfId="0" applyNumberFormat="1" applyFont="1" applyBorder="1" applyAlignment="1">
      <alignment horizontal="center" vertical="center"/>
    </xf>
    <xf numFmtId="165" fontId="9" fillId="0" borderId="9" xfId="0" applyNumberFormat="1" applyFont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164" fontId="9" fillId="2" borderId="12" xfId="0" applyNumberFormat="1" applyFont="1" applyFill="1" applyBorder="1" applyAlignment="1">
      <alignment horizontal="center" vertical="center"/>
    </xf>
    <xf numFmtId="0" fontId="9" fillId="3" borderId="13" xfId="0" applyFont="1" applyFill="1" applyBorder="1" applyAlignment="1">
      <alignment horizontal="center" vertical="center"/>
    </xf>
    <xf numFmtId="14" fontId="9" fillId="2" borderId="14" xfId="0" applyNumberFormat="1" applyFont="1" applyFill="1" applyBorder="1" applyAlignment="1">
      <alignment horizontal="center" vertical="center"/>
    </xf>
    <xf numFmtId="14" fontId="9" fillId="2" borderId="15" xfId="0" applyNumberFormat="1" applyFont="1" applyFill="1" applyBorder="1" applyAlignment="1">
      <alignment horizontal="center" vertical="center"/>
    </xf>
    <xf numFmtId="14" fontId="9" fillId="0" borderId="14" xfId="0" applyNumberFormat="1" applyFont="1" applyBorder="1" applyAlignment="1">
      <alignment horizontal="center" vertical="center"/>
    </xf>
    <xf numFmtId="3" fontId="9" fillId="2" borderId="0" xfId="0" applyNumberFormat="1" applyFont="1" applyFill="1"/>
    <xf numFmtId="3" fontId="9" fillId="2" borderId="6" xfId="0" applyNumberFormat="1" applyFont="1" applyFill="1" applyBorder="1" applyAlignment="1">
      <alignment horizontal="center" vertical="center"/>
    </xf>
    <xf numFmtId="3" fontId="9" fillId="2" borderId="2" xfId="0" applyNumberFormat="1" applyFont="1" applyFill="1" applyBorder="1" applyAlignment="1">
      <alignment horizontal="center" vertical="center"/>
    </xf>
    <xf numFmtId="164" fontId="9" fillId="2" borderId="2" xfId="0" applyNumberFormat="1" applyFont="1" applyFill="1" applyBorder="1" applyAlignment="1">
      <alignment horizontal="center" vertical="center"/>
    </xf>
    <xf numFmtId="164" fontId="9" fillId="2" borderId="7" xfId="0" applyNumberFormat="1" applyFont="1" applyFill="1" applyBorder="1" applyAlignment="1">
      <alignment horizontal="center" vertical="center"/>
    </xf>
    <xf numFmtId="164" fontId="9" fillId="2" borderId="11" xfId="0" applyNumberFormat="1" applyFont="1" applyFill="1" applyBorder="1" applyAlignment="1">
      <alignment horizontal="center" vertical="center"/>
    </xf>
    <xf numFmtId="164" fontId="9" fillId="2" borderId="0" xfId="0" applyNumberFormat="1" applyFont="1" applyFill="1" applyAlignment="1">
      <alignment horizontal="center" vertical="center"/>
    </xf>
    <xf numFmtId="3" fontId="9" fillId="2" borderId="10" xfId="0" applyNumberFormat="1" applyFont="1" applyFill="1" applyBorder="1" applyAlignment="1">
      <alignment horizontal="center" vertical="center"/>
    </xf>
    <xf numFmtId="3" fontId="9" fillId="2" borderId="11" xfId="0" applyNumberFormat="1" applyFont="1" applyFill="1" applyBorder="1" applyAlignment="1">
      <alignment horizontal="center" vertical="center"/>
    </xf>
    <xf numFmtId="14" fontId="9" fillId="2" borderId="17" xfId="0" applyNumberFormat="1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/>
    </xf>
    <xf numFmtId="3" fontId="9" fillId="2" borderId="19" xfId="0" applyNumberFormat="1" applyFont="1" applyFill="1" applyBorder="1" applyAlignment="1">
      <alignment horizontal="center" vertical="center"/>
    </xf>
    <xf numFmtId="3" fontId="9" fillId="2" borderId="20" xfId="0" applyNumberFormat="1" applyFont="1" applyFill="1" applyBorder="1" applyAlignment="1">
      <alignment horizontal="center" vertical="center"/>
    </xf>
    <xf numFmtId="164" fontId="9" fillId="2" borderId="20" xfId="0" applyNumberFormat="1" applyFont="1" applyFill="1" applyBorder="1" applyAlignment="1">
      <alignment horizontal="center" vertical="center"/>
    </xf>
    <xf numFmtId="164" fontId="9" fillId="2" borderId="18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164" fontId="9" fillId="2" borderId="8" xfId="0" applyNumberFormat="1" applyFont="1" applyFill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164" fontId="9" fillId="0" borderId="8" xfId="0" applyNumberFormat="1" applyFont="1" applyBorder="1" applyAlignment="1">
      <alignment horizontal="center" vertical="center"/>
    </xf>
    <xf numFmtId="0" fontId="9" fillId="2" borderId="1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14" fontId="9" fillId="2" borderId="8" xfId="0" applyNumberFormat="1" applyFont="1" applyFill="1" applyBorder="1" applyAlignment="1">
      <alignment horizontal="center" vertical="center"/>
    </xf>
    <xf numFmtId="14" fontId="9" fillId="2" borderId="19" xfId="0" applyNumberFormat="1" applyFont="1" applyFill="1" applyBorder="1" applyAlignment="1">
      <alignment horizontal="center" vertical="center"/>
    </xf>
    <xf numFmtId="0" fontId="9" fillId="2" borderId="20" xfId="0" applyFont="1" applyFill="1" applyBorder="1" applyAlignment="1">
      <alignment horizontal="center" vertical="center"/>
    </xf>
    <xf numFmtId="14" fontId="9" fillId="2" borderId="10" xfId="0" applyNumberFormat="1" applyFont="1" applyFill="1" applyBorder="1" applyAlignment="1">
      <alignment horizontal="center" vertical="center"/>
    </xf>
    <xf numFmtId="0" fontId="11" fillId="0" borderId="0" xfId="0" applyNumberFormat="1" applyFont="1" applyAlignment="1">
      <alignment vertical="center"/>
    </xf>
    <xf numFmtId="0" fontId="2" fillId="2" borderId="0" xfId="0" applyFont="1" applyFill="1" applyBorder="1"/>
    <xf numFmtId="166" fontId="13" fillId="2" borderId="0" xfId="7" applyNumberFormat="1" applyFont="1" applyFill="1" applyBorder="1" applyAlignment="1">
      <alignment horizontal="center" vertical="center" wrapText="1"/>
    </xf>
    <xf numFmtId="49" fontId="15" fillId="2" borderId="0" xfId="0" applyNumberFormat="1" applyFont="1" applyFill="1" applyBorder="1" applyAlignment="1">
      <alignment horizontal="center" vertical="center" wrapText="1"/>
    </xf>
    <xf numFmtId="0" fontId="15" fillId="2" borderId="0" xfId="0" applyFont="1" applyFill="1" applyBorder="1" applyAlignment="1">
      <alignment horizontal="center" vertical="center" wrapText="1"/>
    </xf>
    <xf numFmtId="1" fontId="15" fillId="2" borderId="0" xfId="7" applyNumberFormat="1" applyFont="1" applyFill="1" applyBorder="1" applyAlignment="1">
      <alignment horizontal="left" wrapText="1"/>
    </xf>
    <xf numFmtId="164" fontId="15" fillId="2" borderId="0" xfId="0" applyNumberFormat="1" applyFont="1" applyFill="1" applyBorder="1" applyAlignment="1">
      <alignment horizontal="center" vertical="center"/>
    </xf>
    <xf numFmtId="0" fontId="13" fillId="2" borderId="0" xfId="6" applyFont="1" applyFill="1" applyBorder="1" applyAlignment="1">
      <alignment wrapText="1"/>
    </xf>
    <xf numFmtId="0" fontId="16" fillId="2" borderId="0" xfId="0" applyFont="1" applyFill="1" applyAlignment="1">
      <alignment horizontal="center" vertical="center"/>
    </xf>
    <xf numFmtId="164" fontId="16" fillId="2" borderId="0" xfId="0" applyNumberFormat="1" applyFont="1" applyFill="1" applyAlignment="1">
      <alignment horizontal="center" vertical="center"/>
    </xf>
    <xf numFmtId="166" fontId="13" fillId="2" borderId="0" xfId="7" applyNumberFormat="1" applyFont="1" applyFill="1" applyBorder="1" applyAlignment="1">
      <alignment horizontal="center" vertical="center" wrapText="1"/>
    </xf>
    <xf numFmtId="0" fontId="15" fillId="2" borderId="0" xfId="0" applyFont="1" applyFill="1" applyBorder="1" applyAlignment="1">
      <alignment horizontal="center" vertical="center" wrapText="1"/>
    </xf>
    <xf numFmtId="164" fontId="14" fillId="2" borderId="0" xfId="0" applyNumberFormat="1" applyFont="1" applyFill="1" applyBorder="1" applyAlignment="1">
      <alignment horizontal="center" vertical="center" wrapText="1"/>
    </xf>
    <xf numFmtId="164" fontId="13" fillId="2" borderId="0" xfId="0" applyNumberFormat="1" applyFont="1" applyFill="1" applyBorder="1" applyAlignment="1">
      <alignment horizontal="center" vertical="center" wrapText="1"/>
    </xf>
  </cellXfs>
  <cellStyles count="8">
    <cellStyle name="60% — akcent 4" xfId="6" builtinId="44"/>
    <cellStyle name="Hiperłącze" xfId="2" builtinId="8"/>
    <cellStyle name="Kolumna" xfId="5" xr:uid="{3E4447A5-8C10-4223-996B-BB0E7BE22279}"/>
    <cellStyle name="Normalny" xfId="0" builtinId="0"/>
    <cellStyle name="Normalny 12" xfId="7" xr:uid="{DC5F289B-8F34-48F3-9B4E-0B2AD217E014}"/>
    <cellStyle name="S4" xfId="3" xr:uid="{124FFDC3-3E86-4499-8194-8F114FEE6CA4}"/>
    <cellStyle name="S6" xfId="4" xr:uid="{3FC41AED-4160-4FBB-B03D-A2D3936CBE2A}"/>
    <cellStyle name="S7" xfId="1" xr:uid="{00000000-0005-0000-0000-000001000000}"/>
  </cellStyles>
  <dxfs count="0"/>
  <tableStyles count="0" defaultTableStyle="TableStyleMedium2" defaultPivotStyle="PivotStyleLight16"/>
  <colors>
    <mruColors>
      <color rgb="FF0000FF"/>
      <color rgb="FFF8EDEC"/>
      <color rgb="FFF5E4E3"/>
      <color rgb="FFFDE2CB"/>
      <color rgb="FFFABF8F"/>
      <color rgb="FFC49F00"/>
      <color rgb="FFFFCC00"/>
      <color rgb="FFCCFFFF"/>
      <color rgb="FFFFF2B3"/>
      <color rgb="FFFFEE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US" sz="1000" b="0">
                <a:latin typeface="Arial" panose="020B0604020202020204" pitchFamily="34" charset="0"/>
                <a:cs typeface="Arial" panose="020B0604020202020204" pitchFamily="34" charset="0"/>
              </a:rPr>
              <a:t>Stopa bezrobocia rejestrowanego - wg województw</a:t>
            </a:r>
          </a:p>
        </c:rich>
      </c:tx>
      <c:layout>
        <c:manualLayout>
          <c:xMode val="edge"/>
          <c:yMode val="edge"/>
          <c:x val="0.34669144689260606"/>
          <c:y val="3.4742444370930763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2171417809544183"/>
          <c:y val="0.10611043571795144"/>
          <c:w val="0.72834094000673499"/>
          <c:h val="0.8408670370325790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'1sort'!$B$1</c:f>
              <c:strCache>
                <c:ptCount val="1"/>
                <c:pt idx="0">
                  <c:v>Stopa bezrobocia rejestrowanego - wg województw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 w="1270">
              <a:solidFill>
                <a:schemeClr val="accent4">
                  <a:lumMod val="60000"/>
                  <a:lumOff val="40000"/>
                </a:schemeClr>
              </a:solidFill>
            </a:ln>
          </c:spPr>
          <c:invertIfNegative val="0"/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F151-4BBA-97F7-B4F2CAA94FA1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270">
                <a:solidFill>
                  <a:schemeClr val="accent4">
                    <a:lumMod val="60000"/>
                    <a:lumOff val="40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1-F151-4BBA-97F7-B4F2CAA94FA1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F151-4BBA-97F7-B4F2CAA94FA1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F151-4BBA-97F7-B4F2CAA94FA1}"/>
              </c:ext>
            </c:extLst>
          </c:dPt>
          <c:dPt>
            <c:idx val="15"/>
            <c:invertIfNegative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270">
                <a:solidFill>
                  <a:schemeClr val="accent4">
                    <a:lumMod val="60000"/>
                    <a:lumOff val="40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4-F151-4BBA-97F7-B4F2CAA94FA1}"/>
              </c:ext>
            </c:extLst>
          </c:dPt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D920-4EE0-B3A4-D4F7E3E256CB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'1sort'!$C$4:$C$20</c:f>
              <c:strCache>
                <c:ptCount val="17"/>
                <c:pt idx="0">
                  <c:v>WIELKOPOLSKIE</c:v>
                </c:pt>
                <c:pt idx="1">
                  <c:v>MAZOWIECKIE</c:v>
                </c:pt>
                <c:pt idx="2">
                  <c:v>ŚLĄSKIE</c:v>
                </c:pt>
                <c:pt idx="3">
                  <c:v>MAŁOPOLSKIE</c:v>
                </c:pt>
                <c:pt idx="4">
                  <c:v>DOLNOŚLĄSKIE</c:v>
                </c:pt>
                <c:pt idx="5">
                  <c:v>POMORSKIE</c:v>
                </c:pt>
                <c:pt idx="6">
                  <c:v>POLSKA</c:v>
                </c:pt>
                <c:pt idx="7">
                  <c:v>LUBUSKIE</c:v>
                </c:pt>
                <c:pt idx="8">
                  <c:v>ŁÓDZKIE</c:v>
                </c:pt>
                <c:pt idx="9">
                  <c:v>OPOLSKIE</c:v>
                </c:pt>
                <c:pt idx="10">
                  <c:v>PODLASKIE</c:v>
                </c:pt>
                <c:pt idx="11">
                  <c:v>ZACHODNIOPOMORSKIE</c:v>
                </c:pt>
                <c:pt idx="12">
                  <c:v>KUJAWSKO-POMORSKIE</c:v>
                </c:pt>
                <c:pt idx="13">
                  <c:v>LUBELSKIE</c:v>
                </c:pt>
                <c:pt idx="14">
                  <c:v>ŚWIĘTOKRZYSKIE</c:v>
                </c:pt>
                <c:pt idx="15">
                  <c:v>PODKARPACKIE</c:v>
                </c:pt>
                <c:pt idx="16">
                  <c:v>WARMIŃSKO-MAZURSKIE</c:v>
                </c:pt>
              </c:strCache>
            </c:strRef>
          </c:cat>
          <c:val>
            <c:numRef>
              <c:f>'1sort'!$D$4:$D$20</c:f>
              <c:numCache>
                <c:formatCode>0.0</c:formatCode>
                <c:ptCount val="17"/>
                <c:pt idx="0">
                  <c:v>3.8</c:v>
                </c:pt>
                <c:pt idx="1">
                  <c:v>4.5</c:v>
                </c:pt>
                <c:pt idx="2">
                  <c:v>4.7</c:v>
                </c:pt>
                <c:pt idx="3">
                  <c:v>5</c:v>
                </c:pt>
                <c:pt idx="4">
                  <c:v>5.6</c:v>
                </c:pt>
                <c:pt idx="5">
                  <c:v>5.6</c:v>
                </c:pt>
                <c:pt idx="6">
                  <c:v>6</c:v>
                </c:pt>
                <c:pt idx="7">
                  <c:v>6.1</c:v>
                </c:pt>
                <c:pt idx="8">
                  <c:v>6.6</c:v>
                </c:pt>
                <c:pt idx="9">
                  <c:v>6.7</c:v>
                </c:pt>
                <c:pt idx="10">
                  <c:v>7.8</c:v>
                </c:pt>
                <c:pt idx="11">
                  <c:v>8.1</c:v>
                </c:pt>
                <c:pt idx="12">
                  <c:v>8.1999999999999993</c:v>
                </c:pt>
                <c:pt idx="13">
                  <c:v>8.5</c:v>
                </c:pt>
                <c:pt idx="14">
                  <c:v>8.8000000000000007</c:v>
                </c:pt>
                <c:pt idx="15">
                  <c:v>9.6</c:v>
                </c:pt>
                <c:pt idx="16">
                  <c:v>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151-4BBA-97F7-B4F2CAA94F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1"/>
        <c:axId val="43823488"/>
        <c:axId val="43825024"/>
      </c:barChart>
      <c:catAx>
        <c:axId val="4382348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pl-PL"/>
          </a:p>
        </c:txPr>
        <c:crossAx val="43825024"/>
        <c:crosses val="autoZero"/>
        <c:auto val="1"/>
        <c:lblAlgn val="ctr"/>
        <c:lblOffset val="100"/>
        <c:noMultiLvlLbl val="0"/>
      </c:catAx>
      <c:valAx>
        <c:axId val="43825024"/>
        <c:scaling>
          <c:orientation val="minMax"/>
        </c:scaling>
        <c:delete val="0"/>
        <c:axPos val="b"/>
        <c:majorGridlines>
          <c:spPr>
            <a:ln w="3175">
              <a:solidFill>
                <a:schemeClr val="accent4">
                  <a:lumMod val="60000"/>
                  <a:lumOff val="40000"/>
                  <a:alpha val="64000"/>
                </a:schemeClr>
              </a:solidFill>
            </a:ln>
          </c:spPr>
        </c:majorGridlines>
        <c:minorGridlines>
          <c:spPr>
            <a:ln w="3175">
              <a:solidFill>
                <a:schemeClr val="accent4">
                  <a:lumMod val="75000"/>
                  <a:alpha val="17000"/>
                </a:schemeClr>
              </a:solidFill>
            </a:ln>
          </c:spPr>
        </c:minorGridlines>
        <c:numFmt formatCode="#,##0.0" sourceLinked="0"/>
        <c:majorTickMark val="out"/>
        <c:minorTickMark val="none"/>
        <c:tickLblPos val="nextTo"/>
        <c:spPr>
          <a:ln w="6350">
            <a:solidFill>
              <a:schemeClr val="bg1">
                <a:lumMod val="65000"/>
              </a:schemeClr>
            </a:solidFill>
          </a:ln>
        </c:spPr>
        <c:crossAx val="4382348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 b="0"/>
            </a:pPr>
            <a:r>
              <a:rPr lang="pl-PL" sz="1000" b="0">
                <a:solidFill>
                  <a:srgbClr val="0000FF"/>
                </a:solidFill>
              </a:rPr>
              <a:t>Polska - województwo podkarpackie</a:t>
            </a:r>
            <a:r>
              <a:rPr lang="pl-PL" sz="1000" b="0"/>
              <a:t>, stopa bezrobocia</a:t>
            </a:r>
          </a:p>
          <a:p>
            <a:pPr algn="l">
              <a:defRPr sz="1000" b="0"/>
            </a:pPr>
            <a:r>
              <a:rPr lang="pl-PL" sz="1000" b="0"/>
              <a:t>stan na 31 stycznia danego roku</a:t>
            </a:r>
          </a:p>
          <a:p>
            <a:pPr algn="l">
              <a:defRPr sz="1000" b="0"/>
            </a:pPr>
            <a:r>
              <a:rPr lang="pl-PL" sz="1000" b="0"/>
              <a:t>Polska 1990-2024, Podkarpackie</a:t>
            </a:r>
            <a:r>
              <a:rPr lang="pl-PL" sz="1000" b="0" baseline="0"/>
              <a:t> 1998-2024</a:t>
            </a:r>
            <a:endParaRPr lang="pl-PL" sz="1000" b="0"/>
          </a:p>
        </c:rich>
      </c:tx>
      <c:layout>
        <c:manualLayout>
          <c:xMode val="edge"/>
          <c:yMode val="edge"/>
          <c:x val="0.47196164327243323"/>
          <c:y val="6.5323320419779342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5138296558045839E-2"/>
          <c:y val="3.2376028706750964E-2"/>
          <c:w val="0.90028379866274644"/>
          <c:h val="0.86215856828084902"/>
        </c:manualLayout>
      </c:layout>
      <c:lineChart>
        <c:grouping val="standard"/>
        <c:varyColors val="0"/>
        <c:ser>
          <c:idx val="0"/>
          <c:order val="0"/>
          <c:tx>
            <c:strRef>
              <c:f>'1998-2024'!$L$2</c:f>
              <c:strCache>
                <c:ptCount val="1"/>
                <c:pt idx="0">
                  <c:v>Polska</c:v>
                </c:pt>
              </c:strCache>
            </c:strRef>
          </c:tx>
          <c:spPr>
            <a:ln w="19050" cmpd="sng">
              <a:solidFill>
                <a:schemeClr val="tx1"/>
              </a:solidFill>
            </a:ln>
          </c:spPr>
          <c:marker>
            <c:symbol val="none"/>
          </c:marker>
          <c:cat>
            <c:strRef>
              <c:f>'1998-2024'!$K$3:$K$38</c:f>
              <c:strCache>
                <c:ptCount val="36"/>
                <c:pt idx="0">
                  <c:v>31I90</c:v>
                </c:pt>
                <c:pt idx="1">
                  <c:v>31I91</c:v>
                </c:pt>
                <c:pt idx="2">
                  <c:v>31I92</c:v>
                </c:pt>
                <c:pt idx="3">
                  <c:v>31I93</c:v>
                </c:pt>
                <c:pt idx="4">
                  <c:v>31I94</c:v>
                </c:pt>
                <c:pt idx="5">
                  <c:v>31I95</c:v>
                </c:pt>
                <c:pt idx="6">
                  <c:v>31I96</c:v>
                </c:pt>
                <c:pt idx="7">
                  <c:v>31I97</c:v>
                </c:pt>
                <c:pt idx="8">
                  <c:v>31I98</c:v>
                </c:pt>
                <c:pt idx="9">
                  <c:v>31I99</c:v>
                </c:pt>
                <c:pt idx="10">
                  <c:v>31I00</c:v>
                </c:pt>
                <c:pt idx="11">
                  <c:v>31I01</c:v>
                </c:pt>
                <c:pt idx="12">
                  <c:v>31I02</c:v>
                </c:pt>
                <c:pt idx="13">
                  <c:v>31I03</c:v>
                </c:pt>
                <c:pt idx="14">
                  <c:v>31I04</c:v>
                </c:pt>
                <c:pt idx="15">
                  <c:v>31I05</c:v>
                </c:pt>
                <c:pt idx="16">
                  <c:v>31I06</c:v>
                </c:pt>
                <c:pt idx="17">
                  <c:v>31I07</c:v>
                </c:pt>
                <c:pt idx="18">
                  <c:v>31I08</c:v>
                </c:pt>
                <c:pt idx="19">
                  <c:v>31I09</c:v>
                </c:pt>
                <c:pt idx="20">
                  <c:v>31I10</c:v>
                </c:pt>
                <c:pt idx="21">
                  <c:v>31I11</c:v>
                </c:pt>
                <c:pt idx="22">
                  <c:v>31I12</c:v>
                </c:pt>
                <c:pt idx="23">
                  <c:v>31I13</c:v>
                </c:pt>
                <c:pt idx="24">
                  <c:v>31I14</c:v>
                </c:pt>
                <c:pt idx="25">
                  <c:v>31I15</c:v>
                </c:pt>
                <c:pt idx="26">
                  <c:v>31I16</c:v>
                </c:pt>
                <c:pt idx="27">
                  <c:v>31I17</c:v>
                </c:pt>
                <c:pt idx="28">
                  <c:v>31I18</c:v>
                </c:pt>
                <c:pt idx="29">
                  <c:v>31I19</c:v>
                </c:pt>
                <c:pt idx="30">
                  <c:v>31I20</c:v>
                </c:pt>
                <c:pt idx="31">
                  <c:v>31I21</c:v>
                </c:pt>
                <c:pt idx="32">
                  <c:v>31I22</c:v>
                </c:pt>
                <c:pt idx="33">
                  <c:v>31I23</c:v>
                </c:pt>
                <c:pt idx="34">
                  <c:v>31I24</c:v>
                </c:pt>
                <c:pt idx="35">
                  <c:v>31I25</c:v>
                </c:pt>
              </c:strCache>
            </c:strRef>
          </c:cat>
          <c:val>
            <c:numRef>
              <c:f>'1998-2024'!$L$3:$L$38</c:f>
              <c:numCache>
                <c:formatCode>General</c:formatCode>
                <c:ptCount val="36"/>
                <c:pt idx="0">
                  <c:v>0.3</c:v>
                </c:pt>
                <c:pt idx="1">
                  <c:v>6.6</c:v>
                </c:pt>
                <c:pt idx="2">
                  <c:v>12.1</c:v>
                </c:pt>
                <c:pt idx="3">
                  <c:v>14.2</c:v>
                </c:pt>
                <c:pt idx="4">
                  <c:v>16.7</c:v>
                </c:pt>
                <c:pt idx="5">
                  <c:v>16.100000000000001</c:v>
                </c:pt>
                <c:pt idx="6">
                  <c:v>15.4</c:v>
                </c:pt>
                <c:pt idx="7">
                  <c:v>13.1</c:v>
                </c:pt>
                <c:pt idx="8">
                  <c:v>10.7</c:v>
                </c:pt>
                <c:pt idx="9">
                  <c:v>11.4</c:v>
                </c:pt>
                <c:pt idx="10">
                  <c:v>13.7</c:v>
                </c:pt>
                <c:pt idx="11">
                  <c:v>15.7</c:v>
                </c:pt>
                <c:pt idx="12">
                  <c:v>18.100000000000001</c:v>
                </c:pt>
                <c:pt idx="13">
                  <c:v>20.6</c:v>
                </c:pt>
                <c:pt idx="14">
                  <c:v>20.6</c:v>
                </c:pt>
                <c:pt idx="15">
                  <c:v>19.399999999999999</c:v>
                </c:pt>
                <c:pt idx="16" formatCode="0.0">
                  <c:v>18</c:v>
                </c:pt>
                <c:pt idx="17">
                  <c:v>15.1</c:v>
                </c:pt>
                <c:pt idx="18">
                  <c:v>11.5</c:v>
                </c:pt>
                <c:pt idx="19">
                  <c:v>10.4</c:v>
                </c:pt>
                <c:pt idx="20">
                  <c:v>12.9</c:v>
                </c:pt>
                <c:pt idx="21">
                  <c:v>13.1</c:v>
                </c:pt>
                <c:pt idx="22">
                  <c:v>13.2</c:v>
                </c:pt>
                <c:pt idx="23">
                  <c:v>14.2</c:v>
                </c:pt>
                <c:pt idx="24">
                  <c:v>13.9</c:v>
                </c:pt>
                <c:pt idx="25" formatCode="0.0">
                  <c:v>12</c:v>
                </c:pt>
                <c:pt idx="26" formatCode="0.0">
                  <c:v>8.3000000000000007</c:v>
                </c:pt>
                <c:pt idx="27">
                  <c:v>8.5</c:v>
                </c:pt>
                <c:pt idx="28">
                  <c:v>6.8</c:v>
                </c:pt>
                <c:pt idx="29">
                  <c:v>6.1</c:v>
                </c:pt>
                <c:pt idx="30">
                  <c:v>5.5</c:v>
                </c:pt>
                <c:pt idx="31">
                  <c:v>6.5</c:v>
                </c:pt>
                <c:pt idx="32">
                  <c:v>5.9</c:v>
                </c:pt>
                <c:pt idx="33">
                  <c:v>5.5</c:v>
                </c:pt>
                <c:pt idx="34">
                  <c:v>5.4</c:v>
                </c:pt>
                <c:pt idx="35">
                  <c:v>5.4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5AEC-472D-8B26-72895FB0E501}"/>
            </c:ext>
          </c:extLst>
        </c:ser>
        <c:ser>
          <c:idx val="1"/>
          <c:order val="1"/>
          <c:tx>
            <c:strRef>
              <c:f>'1998-2024'!$M$2</c:f>
              <c:strCache>
                <c:ptCount val="1"/>
                <c:pt idx="0">
                  <c:v>podkarpackie</c:v>
                </c:pt>
              </c:strCache>
            </c:strRef>
          </c:tx>
          <c:spPr>
            <a:ln w="41275">
              <a:solidFill>
                <a:srgbClr val="0000FF"/>
              </a:solidFill>
              <a:prstDash val="sysDot"/>
            </a:ln>
          </c:spPr>
          <c:marker>
            <c:symbol val="none"/>
          </c:marker>
          <c:cat>
            <c:strRef>
              <c:f>'1998-2024'!$K$3:$K$38</c:f>
              <c:strCache>
                <c:ptCount val="36"/>
                <c:pt idx="0">
                  <c:v>31I90</c:v>
                </c:pt>
                <c:pt idx="1">
                  <c:v>31I91</c:v>
                </c:pt>
                <c:pt idx="2">
                  <c:v>31I92</c:v>
                </c:pt>
                <c:pt idx="3">
                  <c:v>31I93</c:v>
                </c:pt>
                <c:pt idx="4">
                  <c:v>31I94</c:v>
                </c:pt>
                <c:pt idx="5">
                  <c:v>31I95</c:v>
                </c:pt>
                <c:pt idx="6">
                  <c:v>31I96</c:v>
                </c:pt>
                <c:pt idx="7">
                  <c:v>31I97</c:v>
                </c:pt>
                <c:pt idx="8">
                  <c:v>31I98</c:v>
                </c:pt>
                <c:pt idx="9">
                  <c:v>31I99</c:v>
                </c:pt>
                <c:pt idx="10">
                  <c:v>31I00</c:v>
                </c:pt>
                <c:pt idx="11">
                  <c:v>31I01</c:v>
                </c:pt>
                <c:pt idx="12">
                  <c:v>31I02</c:v>
                </c:pt>
                <c:pt idx="13">
                  <c:v>31I03</c:v>
                </c:pt>
                <c:pt idx="14">
                  <c:v>31I04</c:v>
                </c:pt>
                <c:pt idx="15">
                  <c:v>31I05</c:v>
                </c:pt>
                <c:pt idx="16">
                  <c:v>31I06</c:v>
                </c:pt>
                <c:pt idx="17">
                  <c:v>31I07</c:v>
                </c:pt>
                <c:pt idx="18">
                  <c:v>31I08</c:v>
                </c:pt>
                <c:pt idx="19">
                  <c:v>31I09</c:v>
                </c:pt>
                <c:pt idx="20">
                  <c:v>31I10</c:v>
                </c:pt>
                <c:pt idx="21">
                  <c:v>31I11</c:v>
                </c:pt>
                <c:pt idx="22">
                  <c:v>31I12</c:v>
                </c:pt>
                <c:pt idx="23">
                  <c:v>31I13</c:v>
                </c:pt>
                <c:pt idx="24">
                  <c:v>31I14</c:v>
                </c:pt>
                <c:pt idx="25">
                  <c:v>31I15</c:v>
                </c:pt>
                <c:pt idx="26">
                  <c:v>31I16</c:v>
                </c:pt>
                <c:pt idx="27">
                  <c:v>31I17</c:v>
                </c:pt>
                <c:pt idx="28">
                  <c:v>31I18</c:v>
                </c:pt>
                <c:pt idx="29">
                  <c:v>31I19</c:v>
                </c:pt>
                <c:pt idx="30">
                  <c:v>31I20</c:v>
                </c:pt>
                <c:pt idx="31">
                  <c:v>31I21</c:v>
                </c:pt>
                <c:pt idx="32">
                  <c:v>31I22</c:v>
                </c:pt>
                <c:pt idx="33">
                  <c:v>31I23</c:v>
                </c:pt>
                <c:pt idx="34">
                  <c:v>31I24</c:v>
                </c:pt>
                <c:pt idx="35">
                  <c:v>31I25</c:v>
                </c:pt>
              </c:strCache>
            </c:strRef>
          </c:cat>
          <c:val>
            <c:numRef>
              <c:f>'1998-2024'!$M$3:$M$38</c:f>
              <c:numCache>
                <c:formatCode>General</c:formatCode>
                <c:ptCount val="36"/>
                <c:pt idx="9">
                  <c:v>13.2</c:v>
                </c:pt>
                <c:pt idx="10">
                  <c:v>15.1</c:v>
                </c:pt>
                <c:pt idx="11">
                  <c:v>16.399999999999999</c:v>
                </c:pt>
                <c:pt idx="12">
                  <c:v>17.8</c:v>
                </c:pt>
                <c:pt idx="13">
                  <c:v>17.3</c:v>
                </c:pt>
                <c:pt idx="14">
                  <c:v>19.100000000000001</c:v>
                </c:pt>
                <c:pt idx="15">
                  <c:v>18.5</c:v>
                </c:pt>
                <c:pt idx="16">
                  <c:v>16.399999999999999</c:v>
                </c:pt>
                <c:pt idx="17">
                  <c:v>14.2</c:v>
                </c:pt>
                <c:pt idx="18">
                  <c:v>14.8</c:v>
                </c:pt>
                <c:pt idx="19" formatCode="0.0">
                  <c:v>14</c:v>
                </c:pt>
                <c:pt idx="20">
                  <c:v>16.7</c:v>
                </c:pt>
                <c:pt idx="21" formatCode="0.0">
                  <c:v>16</c:v>
                </c:pt>
                <c:pt idx="22">
                  <c:v>16.2</c:v>
                </c:pt>
                <c:pt idx="23">
                  <c:v>16.3</c:v>
                </c:pt>
                <c:pt idx="24">
                  <c:v>14.8</c:v>
                </c:pt>
                <c:pt idx="25">
                  <c:v>15.2</c:v>
                </c:pt>
                <c:pt idx="26">
                  <c:v>11.6</c:v>
                </c:pt>
                <c:pt idx="27">
                  <c:v>11.8</c:v>
                </c:pt>
                <c:pt idx="28">
                  <c:v>9.9</c:v>
                </c:pt>
                <c:pt idx="29" formatCode="0.0">
                  <c:v>9</c:v>
                </c:pt>
                <c:pt idx="30">
                  <c:v>8.3000000000000007</c:v>
                </c:pt>
                <c:pt idx="31">
                  <c:v>9.5</c:v>
                </c:pt>
                <c:pt idx="32">
                  <c:v>10.1</c:v>
                </c:pt>
                <c:pt idx="33">
                  <c:v>9.1999999999999993</c:v>
                </c:pt>
                <c:pt idx="34" formatCode="0.0">
                  <c:v>9</c:v>
                </c:pt>
                <c:pt idx="35" formatCode="0.0">
                  <c:v>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EC-472D-8B26-72895FB0E5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7368320"/>
        <c:axId val="227398784"/>
      </c:lineChart>
      <c:catAx>
        <c:axId val="227368320"/>
        <c:scaling>
          <c:orientation val="minMax"/>
        </c:scaling>
        <c:delete val="0"/>
        <c:axPos val="b"/>
        <c:majorGridlines>
          <c:spPr>
            <a:ln w="15875">
              <a:solidFill>
                <a:schemeClr val="tx2">
                  <a:lumMod val="75000"/>
                  <a:alpha val="27000"/>
                </a:schemeClr>
              </a:solidFill>
              <a:prstDash val="sysDot"/>
            </a:ln>
          </c:spPr>
        </c:majorGridlines>
        <c:numFmt formatCode="General" sourceLinked="1"/>
        <c:majorTickMark val="none"/>
        <c:minorTickMark val="none"/>
        <c:tickLblPos val="nextTo"/>
        <c:spPr>
          <a:ln w="6350">
            <a:solidFill>
              <a:schemeClr val="accent2">
                <a:lumMod val="50000"/>
                <a:alpha val="68000"/>
              </a:schemeClr>
            </a:solidFill>
            <a:prstDash val="solid"/>
          </a:ln>
        </c:spPr>
        <c:txPr>
          <a:bodyPr rot="-5400000" vert="horz"/>
          <a:lstStyle/>
          <a:p>
            <a:pPr>
              <a:defRPr sz="550" b="0">
                <a:solidFill>
                  <a:schemeClr val="tx1"/>
                </a:solidFill>
              </a:defRPr>
            </a:pPr>
            <a:endParaRPr lang="pl-PL"/>
          </a:p>
        </c:txPr>
        <c:crossAx val="227398784"/>
        <c:crosses val="autoZero"/>
        <c:auto val="1"/>
        <c:lblAlgn val="ctr"/>
        <c:lblOffset val="100"/>
        <c:noMultiLvlLbl val="1"/>
      </c:catAx>
      <c:valAx>
        <c:axId val="227398784"/>
        <c:scaling>
          <c:orientation val="minMax"/>
        </c:scaling>
        <c:delete val="0"/>
        <c:axPos val="l"/>
        <c:majorGridlines>
          <c:spPr>
            <a:ln w="3175">
              <a:solidFill>
                <a:schemeClr val="accent1">
                  <a:lumMod val="60000"/>
                  <a:lumOff val="40000"/>
                  <a:alpha val="0"/>
                </a:schemeClr>
              </a:solidFill>
            </a:ln>
          </c:spPr>
        </c:majorGridlines>
        <c:minorGridlines>
          <c:spPr>
            <a:ln w="3175">
              <a:solidFill>
                <a:srgbClr val="5353FF">
                  <a:alpha val="55000"/>
                </a:srgbClr>
              </a:solidFill>
              <a:prstDash val="sysDot"/>
            </a:ln>
          </c:spPr>
        </c:minorGridlines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accent2">
                <a:lumMod val="50000"/>
              </a:schemeClr>
            </a:solidFill>
          </a:ln>
        </c:spPr>
        <c:txPr>
          <a:bodyPr/>
          <a:lstStyle/>
          <a:p>
            <a:pPr>
              <a:defRPr sz="800" b="0">
                <a:solidFill>
                  <a:schemeClr val="tx1"/>
                </a:solidFill>
              </a:defRPr>
            </a:pPr>
            <a:endParaRPr lang="pl-PL"/>
          </a:p>
        </c:txPr>
        <c:crossAx val="227368320"/>
        <c:crosses val="autoZero"/>
        <c:crossBetween val="midCat"/>
        <c:majorUnit val="2"/>
        <c:minorUnit val="0.5"/>
      </c:valAx>
      <c:spPr>
        <a:noFill/>
      </c:spPr>
    </c:plotArea>
    <c:legend>
      <c:legendPos val="t"/>
      <c:layout>
        <c:manualLayout>
          <c:xMode val="edge"/>
          <c:yMode val="edge"/>
          <c:x val="0.20244045188688464"/>
          <c:y val="0.71666523827317519"/>
          <c:w val="0.2703548294694626"/>
          <c:h val="0.11472113759543098"/>
        </c:manualLayout>
      </c:layout>
      <c:overlay val="0"/>
      <c:txPr>
        <a:bodyPr/>
        <a:lstStyle/>
        <a:p>
          <a:pPr>
            <a:defRPr sz="800">
              <a:solidFill>
                <a:schemeClr val="tx1"/>
              </a:solidFill>
            </a:defRPr>
          </a:pPr>
          <a:endParaRPr lang="pl-P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900" b="0"/>
            </a:pPr>
            <a:r>
              <a:rPr lang="pl-PL" sz="900" b="0">
                <a:solidFill>
                  <a:srgbClr val="0000FF"/>
                </a:solidFill>
              </a:rPr>
              <a:t>Polska</a:t>
            </a:r>
            <a:r>
              <a:rPr lang="pl-PL" sz="900" b="0" baseline="0">
                <a:solidFill>
                  <a:srgbClr val="0000FF"/>
                </a:solidFill>
              </a:rPr>
              <a:t> - województwo podkarpackie</a:t>
            </a:r>
            <a:r>
              <a:rPr lang="pl-PL" sz="900" b="0" baseline="0"/>
              <a:t>, </a:t>
            </a:r>
            <a:r>
              <a:rPr lang="pl-PL" sz="900" b="0"/>
              <a:t>stopa bezrobocia</a:t>
            </a:r>
          </a:p>
          <a:p>
            <a:pPr algn="l">
              <a:defRPr sz="900" b="0"/>
            </a:pPr>
            <a:r>
              <a:rPr lang="pl-PL" sz="900" b="0"/>
              <a:t>stan na 31 grudnia danego roku</a:t>
            </a:r>
          </a:p>
        </c:rich>
      </c:tx>
      <c:layout>
        <c:manualLayout>
          <c:xMode val="edge"/>
          <c:yMode val="edge"/>
          <c:x val="0.51012402103474441"/>
          <c:y val="3.280293412234177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450208429828626E-2"/>
          <c:y val="3.2376025588762396E-2"/>
          <c:w val="0.90028379866274644"/>
          <c:h val="0.86215856828084902"/>
        </c:manualLayout>
      </c:layout>
      <c:lineChart>
        <c:grouping val="standard"/>
        <c:varyColors val="0"/>
        <c:ser>
          <c:idx val="0"/>
          <c:order val="0"/>
          <c:tx>
            <c:strRef>
              <c:f>'1998-2024'!$C$2</c:f>
              <c:strCache>
                <c:ptCount val="1"/>
                <c:pt idx="0">
                  <c:v>POLSKA</c:v>
                </c:pt>
              </c:strCache>
            </c:strRef>
          </c:tx>
          <c:spPr>
            <a:ln w="22225" cmpd="sng">
              <a:solidFill>
                <a:schemeClr val="tx1"/>
              </a:solidFill>
            </a:ln>
          </c:spPr>
          <c:marker>
            <c:symbol val="none"/>
          </c:marker>
          <c:cat>
            <c:strRef>
              <c:f>'1998-2024'!$B$3:$B$38</c:f>
              <c:strCache>
                <c:ptCount val="36"/>
                <c:pt idx="0">
                  <c:v>31XII90</c:v>
                </c:pt>
                <c:pt idx="1">
                  <c:v>31XII91</c:v>
                </c:pt>
                <c:pt idx="2">
                  <c:v>31XII92</c:v>
                </c:pt>
                <c:pt idx="3">
                  <c:v>31XII93</c:v>
                </c:pt>
                <c:pt idx="4">
                  <c:v>31XII94</c:v>
                </c:pt>
                <c:pt idx="5">
                  <c:v>31XII95</c:v>
                </c:pt>
                <c:pt idx="6">
                  <c:v>31XII96</c:v>
                </c:pt>
                <c:pt idx="7">
                  <c:v>31XII97</c:v>
                </c:pt>
                <c:pt idx="8">
                  <c:v>31XII98</c:v>
                </c:pt>
                <c:pt idx="9">
                  <c:v>31XII99</c:v>
                </c:pt>
                <c:pt idx="10">
                  <c:v>31XII00</c:v>
                </c:pt>
                <c:pt idx="11">
                  <c:v>31XII01</c:v>
                </c:pt>
                <c:pt idx="12">
                  <c:v>31XII02</c:v>
                </c:pt>
                <c:pt idx="13">
                  <c:v>31XII03</c:v>
                </c:pt>
                <c:pt idx="14">
                  <c:v>31XII04</c:v>
                </c:pt>
                <c:pt idx="15">
                  <c:v>31XII05</c:v>
                </c:pt>
                <c:pt idx="16">
                  <c:v>31XII06</c:v>
                </c:pt>
                <c:pt idx="17">
                  <c:v>31XII07</c:v>
                </c:pt>
                <c:pt idx="18">
                  <c:v>31XII08</c:v>
                </c:pt>
                <c:pt idx="19">
                  <c:v>31XII09</c:v>
                </c:pt>
                <c:pt idx="20">
                  <c:v>31XII10</c:v>
                </c:pt>
                <c:pt idx="21">
                  <c:v>31XII11</c:v>
                </c:pt>
                <c:pt idx="22">
                  <c:v>31XII12</c:v>
                </c:pt>
                <c:pt idx="23">
                  <c:v>31XII13</c:v>
                </c:pt>
                <c:pt idx="24">
                  <c:v>31XII14</c:v>
                </c:pt>
                <c:pt idx="25">
                  <c:v>31XII15</c:v>
                </c:pt>
                <c:pt idx="26">
                  <c:v>31XII16</c:v>
                </c:pt>
                <c:pt idx="27">
                  <c:v>31XII17</c:v>
                </c:pt>
                <c:pt idx="28">
                  <c:v>31XII18</c:v>
                </c:pt>
                <c:pt idx="29">
                  <c:v>31XII19</c:v>
                </c:pt>
                <c:pt idx="30">
                  <c:v>31XII20</c:v>
                </c:pt>
                <c:pt idx="31">
                  <c:v>31XII21</c:v>
                </c:pt>
                <c:pt idx="32">
                  <c:v>31XII22</c:v>
                </c:pt>
                <c:pt idx="33">
                  <c:v>31XII23</c:v>
                </c:pt>
                <c:pt idx="34">
                  <c:v>31XII24</c:v>
                </c:pt>
                <c:pt idx="35">
                  <c:v>31XII25</c:v>
                </c:pt>
              </c:strCache>
            </c:strRef>
          </c:cat>
          <c:val>
            <c:numRef>
              <c:f>'1998-2024'!$C$3:$C$38</c:f>
              <c:numCache>
                <c:formatCode>General</c:formatCode>
                <c:ptCount val="36"/>
                <c:pt idx="0">
                  <c:v>6.5</c:v>
                </c:pt>
                <c:pt idx="1">
                  <c:v>12.2</c:v>
                </c:pt>
                <c:pt idx="2">
                  <c:v>14.3</c:v>
                </c:pt>
                <c:pt idx="3">
                  <c:v>16.399999999999999</c:v>
                </c:pt>
                <c:pt idx="4" formatCode="0.0">
                  <c:v>16</c:v>
                </c:pt>
                <c:pt idx="5">
                  <c:v>14.9</c:v>
                </c:pt>
                <c:pt idx="6">
                  <c:v>13.2</c:v>
                </c:pt>
                <c:pt idx="7">
                  <c:v>10.3</c:v>
                </c:pt>
                <c:pt idx="8">
                  <c:v>10.4</c:v>
                </c:pt>
                <c:pt idx="9">
                  <c:v>13.1</c:v>
                </c:pt>
                <c:pt idx="10">
                  <c:v>15.1</c:v>
                </c:pt>
                <c:pt idx="11">
                  <c:v>17.5</c:v>
                </c:pt>
                <c:pt idx="12" formatCode="0.0">
                  <c:v>18</c:v>
                </c:pt>
                <c:pt idx="13" formatCode="0.0">
                  <c:v>20</c:v>
                </c:pt>
                <c:pt idx="14" formatCode="0.0">
                  <c:v>19</c:v>
                </c:pt>
                <c:pt idx="15">
                  <c:v>17.600000000000001</c:v>
                </c:pt>
                <c:pt idx="16">
                  <c:v>14.8</c:v>
                </c:pt>
                <c:pt idx="17">
                  <c:v>11.2</c:v>
                </c:pt>
                <c:pt idx="18">
                  <c:v>9.5</c:v>
                </c:pt>
                <c:pt idx="19">
                  <c:v>12.1</c:v>
                </c:pt>
                <c:pt idx="20">
                  <c:v>12.4</c:v>
                </c:pt>
                <c:pt idx="21">
                  <c:v>12.5</c:v>
                </c:pt>
                <c:pt idx="22">
                  <c:v>13.4</c:v>
                </c:pt>
                <c:pt idx="23">
                  <c:v>13.4</c:v>
                </c:pt>
                <c:pt idx="24">
                  <c:v>11.4</c:v>
                </c:pt>
                <c:pt idx="25">
                  <c:v>9.6999999999999993</c:v>
                </c:pt>
                <c:pt idx="26">
                  <c:v>8.1999999999999993</c:v>
                </c:pt>
                <c:pt idx="27">
                  <c:v>6.6</c:v>
                </c:pt>
                <c:pt idx="28">
                  <c:v>5.8</c:v>
                </c:pt>
                <c:pt idx="29">
                  <c:v>5.2</c:v>
                </c:pt>
                <c:pt idx="30">
                  <c:v>6.3</c:v>
                </c:pt>
                <c:pt idx="31">
                  <c:v>5.8</c:v>
                </c:pt>
                <c:pt idx="32">
                  <c:v>5.2</c:v>
                </c:pt>
                <c:pt idx="33" formatCode="0.0">
                  <c:v>5.0999999999999996</c:v>
                </c:pt>
                <c:pt idx="34">
                  <c:v>5.0999999999999996</c:v>
                </c:pt>
                <c:pt idx="35">
                  <c:v>5.7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CC36-43B3-B3D0-E9E7768EC3E6}"/>
            </c:ext>
          </c:extLst>
        </c:ser>
        <c:ser>
          <c:idx val="1"/>
          <c:order val="1"/>
          <c:tx>
            <c:strRef>
              <c:f>'1998-2024'!$D$2</c:f>
              <c:strCache>
                <c:ptCount val="1"/>
                <c:pt idx="0">
                  <c:v>PODKARPACKIE</c:v>
                </c:pt>
              </c:strCache>
            </c:strRef>
          </c:tx>
          <c:spPr>
            <a:ln w="34925">
              <a:solidFill>
                <a:srgbClr val="0000FF"/>
              </a:solidFill>
              <a:prstDash val="sysDot"/>
            </a:ln>
          </c:spPr>
          <c:marker>
            <c:symbol val="none"/>
          </c:marker>
          <c:cat>
            <c:strRef>
              <c:f>'1998-2024'!$B$3:$B$38</c:f>
              <c:strCache>
                <c:ptCount val="36"/>
                <c:pt idx="0">
                  <c:v>31XII90</c:v>
                </c:pt>
                <c:pt idx="1">
                  <c:v>31XII91</c:v>
                </c:pt>
                <c:pt idx="2">
                  <c:v>31XII92</c:v>
                </c:pt>
                <c:pt idx="3">
                  <c:v>31XII93</c:v>
                </c:pt>
                <c:pt idx="4">
                  <c:v>31XII94</c:v>
                </c:pt>
                <c:pt idx="5">
                  <c:v>31XII95</c:v>
                </c:pt>
                <c:pt idx="6">
                  <c:v>31XII96</c:v>
                </c:pt>
                <c:pt idx="7">
                  <c:v>31XII97</c:v>
                </c:pt>
                <c:pt idx="8">
                  <c:v>31XII98</c:v>
                </c:pt>
                <c:pt idx="9">
                  <c:v>31XII99</c:v>
                </c:pt>
                <c:pt idx="10">
                  <c:v>31XII00</c:v>
                </c:pt>
                <c:pt idx="11">
                  <c:v>31XII01</c:v>
                </c:pt>
                <c:pt idx="12">
                  <c:v>31XII02</c:v>
                </c:pt>
                <c:pt idx="13">
                  <c:v>31XII03</c:v>
                </c:pt>
                <c:pt idx="14">
                  <c:v>31XII04</c:v>
                </c:pt>
                <c:pt idx="15">
                  <c:v>31XII05</c:v>
                </c:pt>
                <c:pt idx="16">
                  <c:v>31XII06</c:v>
                </c:pt>
                <c:pt idx="17">
                  <c:v>31XII07</c:v>
                </c:pt>
                <c:pt idx="18">
                  <c:v>31XII08</c:v>
                </c:pt>
                <c:pt idx="19">
                  <c:v>31XII09</c:v>
                </c:pt>
                <c:pt idx="20">
                  <c:v>31XII10</c:v>
                </c:pt>
                <c:pt idx="21">
                  <c:v>31XII11</c:v>
                </c:pt>
                <c:pt idx="22">
                  <c:v>31XII12</c:v>
                </c:pt>
                <c:pt idx="23">
                  <c:v>31XII13</c:v>
                </c:pt>
                <c:pt idx="24">
                  <c:v>31XII14</c:v>
                </c:pt>
                <c:pt idx="25">
                  <c:v>31XII15</c:v>
                </c:pt>
                <c:pt idx="26">
                  <c:v>31XII16</c:v>
                </c:pt>
                <c:pt idx="27">
                  <c:v>31XII17</c:v>
                </c:pt>
                <c:pt idx="28">
                  <c:v>31XII18</c:v>
                </c:pt>
                <c:pt idx="29">
                  <c:v>31XII19</c:v>
                </c:pt>
                <c:pt idx="30">
                  <c:v>31XII20</c:v>
                </c:pt>
                <c:pt idx="31">
                  <c:v>31XII21</c:v>
                </c:pt>
                <c:pt idx="32">
                  <c:v>31XII22</c:v>
                </c:pt>
                <c:pt idx="33">
                  <c:v>31XII23</c:v>
                </c:pt>
                <c:pt idx="34">
                  <c:v>31XII24</c:v>
                </c:pt>
                <c:pt idx="35">
                  <c:v>31XII25</c:v>
                </c:pt>
              </c:strCache>
            </c:strRef>
          </c:cat>
          <c:val>
            <c:numRef>
              <c:f>'1998-2024'!$D$3:$D$38</c:f>
              <c:numCache>
                <c:formatCode>General</c:formatCode>
                <c:ptCount val="36"/>
                <c:pt idx="8">
                  <c:v>12.4</c:v>
                </c:pt>
                <c:pt idx="9">
                  <c:v>14.5</c:v>
                </c:pt>
                <c:pt idx="10">
                  <c:v>15.9</c:v>
                </c:pt>
                <c:pt idx="11">
                  <c:v>17.3</c:v>
                </c:pt>
                <c:pt idx="12">
                  <c:v>16.899999999999999</c:v>
                </c:pt>
                <c:pt idx="13">
                  <c:v>16.7</c:v>
                </c:pt>
                <c:pt idx="14">
                  <c:v>19.100000000000001</c:v>
                </c:pt>
                <c:pt idx="15">
                  <c:v>18.399999999999999</c:v>
                </c:pt>
                <c:pt idx="16">
                  <c:v>16.399999999999999</c:v>
                </c:pt>
                <c:pt idx="17">
                  <c:v>14.2</c:v>
                </c:pt>
                <c:pt idx="18" formatCode="0.0">
                  <c:v>13</c:v>
                </c:pt>
                <c:pt idx="19">
                  <c:v>15.9</c:v>
                </c:pt>
                <c:pt idx="20">
                  <c:v>15.4</c:v>
                </c:pt>
                <c:pt idx="21">
                  <c:v>15.5</c:v>
                </c:pt>
                <c:pt idx="22">
                  <c:v>16.399999999999999</c:v>
                </c:pt>
                <c:pt idx="23">
                  <c:v>16.3</c:v>
                </c:pt>
                <c:pt idx="24">
                  <c:v>14.6</c:v>
                </c:pt>
                <c:pt idx="25">
                  <c:v>13.2</c:v>
                </c:pt>
                <c:pt idx="26">
                  <c:v>11.5</c:v>
                </c:pt>
                <c:pt idx="27">
                  <c:v>9.6</c:v>
                </c:pt>
                <c:pt idx="28">
                  <c:v>8.6999999999999993</c:v>
                </c:pt>
                <c:pt idx="29">
                  <c:v>7.9</c:v>
                </c:pt>
                <c:pt idx="30">
                  <c:v>9.1</c:v>
                </c:pt>
                <c:pt idx="31">
                  <c:v>9.9</c:v>
                </c:pt>
                <c:pt idx="32">
                  <c:v>8.8000000000000007</c:v>
                </c:pt>
                <c:pt idx="33">
                  <c:v>8.6</c:v>
                </c:pt>
                <c:pt idx="34">
                  <c:v>8.6999999999999993</c:v>
                </c:pt>
                <c:pt idx="35">
                  <c:v>9.3000000000000007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36-43B3-B3D0-E9E7768EC3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7368320"/>
        <c:axId val="227398784"/>
      </c:lineChart>
      <c:catAx>
        <c:axId val="227368320"/>
        <c:scaling>
          <c:orientation val="minMax"/>
        </c:scaling>
        <c:delete val="0"/>
        <c:axPos val="b"/>
        <c:majorGridlines>
          <c:spPr>
            <a:ln w="22225">
              <a:solidFill>
                <a:schemeClr val="tx2">
                  <a:lumMod val="60000"/>
                  <a:lumOff val="40000"/>
                  <a:alpha val="20000"/>
                </a:schemeClr>
              </a:solidFill>
              <a:prstDash val="sysDot"/>
            </a:ln>
          </c:spPr>
        </c:majorGridlines>
        <c:numFmt formatCode="m/d/yyyy" sourceLinked="0"/>
        <c:majorTickMark val="out"/>
        <c:minorTickMark val="none"/>
        <c:tickLblPos val="nextTo"/>
        <c:spPr>
          <a:ln w="19050">
            <a:solidFill>
              <a:schemeClr val="accent4">
                <a:lumMod val="20000"/>
                <a:lumOff val="80000"/>
                <a:alpha val="68000"/>
              </a:schemeClr>
            </a:solidFill>
            <a:prstDash val="solid"/>
          </a:ln>
          <a:effectLst>
            <a:softEdge rad="88900"/>
          </a:effectLst>
        </c:spPr>
        <c:txPr>
          <a:bodyPr rot="-5400000" vert="horz"/>
          <a:lstStyle/>
          <a:p>
            <a:pPr>
              <a:defRPr sz="550" b="0">
                <a:solidFill>
                  <a:schemeClr val="tx1"/>
                </a:solidFill>
              </a:defRPr>
            </a:pPr>
            <a:endParaRPr lang="pl-PL"/>
          </a:p>
        </c:txPr>
        <c:crossAx val="227398784"/>
        <c:crosses val="autoZero"/>
        <c:auto val="1"/>
        <c:lblAlgn val="ctr"/>
        <c:lblOffset val="100"/>
        <c:noMultiLvlLbl val="0"/>
      </c:catAx>
      <c:valAx>
        <c:axId val="227398784"/>
        <c:scaling>
          <c:orientation val="minMax"/>
        </c:scaling>
        <c:delete val="0"/>
        <c:axPos val="l"/>
        <c:majorGridlines>
          <c:spPr>
            <a:ln w="3175">
              <a:solidFill>
                <a:schemeClr val="tx2">
                  <a:lumMod val="40000"/>
                  <a:lumOff val="60000"/>
                  <a:alpha val="0"/>
                </a:schemeClr>
              </a:solidFill>
            </a:ln>
          </c:spPr>
        </c:majorGridlines>
        <c:minorGridlines>
          <c:spPr>
            <a:ln w="3175">
              <a:solidFill>
                <a:schemeClr val="accent6">
                  <a:lumMod val="75000"/>
                  <a:alpha val="66000"/>
                </a:schemeClr>
              </a:solidFill>
              <a:prstDash val="sysDot"/>
            </a:ln>
          </c:spPr>
        </c:minorGridlines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accent4">
                <a:lumMod val="60000"/>
                <a:lumOff val="40000"/>
              </a:schemeClr>
            </a:solidFill>
          </a:ln>
        </c:spPr>
        <c:txPr>
          <a:bodyPr/>
          <a:lstStyle/>
          <a:p>
            <a:pPr>
              <a:defRPr sz="800">
                <a:solidFill>
                  <a:schemeClr val="tx1"/>
                </a:solidFill>
              </a:defRPr>
            </a:pPr>
            <a:endParaRPr lang="pl-PL"/>
          </a:p>
        </c:txPr>
        <c:crossAx val="227368320"/>
        <c:crosses val="autoZero"/>
        <c:crossBetween val="midCat"/>
        <c:majorUnit val="2"/>
        <c:minorUnit val="0.5"/>
      </c:valAx>
      <c:spPr>
        <a:noFill/>
      </c:spPr>
    </c:plotArea>
    <c:legend>
      <c:legendPos val="t"/>
      <c:layout>
        <c:manualLayout>
          <c:xMode val="edge"/>
          <c:yMode val="edge"/>
          <c:x val="0.20531849876875019"/>
          <c:y val="0.6939387394426112"/>
          <c:w val="0.29472975049768224"/>
          <c:h val="0.10768057665833407"/>
        </c:manualLayout>
      </c:layout>
      <c:overlay val="0"/>
      <c:txPr>
        <a:bodyPr/>
        <a:lstStyle/>
        <a:p>
          <a:pPr>
            <a:defRPr sz="800">
              <a:solidFill>
                <a:schemeClr val="tx1"/>
              </a:solidFill>
            </a:defRPr>
          </a:pPr>
          <a:endParaRPr lang="pl-P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100" b="0"/>
            </a:pPr>
            <a:r>
              <a:rPr lang="pl-PL" sz="1100" b="0">
                <a:solidFill>
                  <a:srgbClr val="0000FF"/>
                </a:solidFill>
              </a:rPr>
              <a:t>Województwo podkarpackie</a:t>
            </a:r>
            <a:r>
              <a:rPr lang="pl-PL" sz="1100" b="0"/>
              <a:t>, liczba bezrobotnych</a:t>
            </a:r>
          </a:p>
          <a:p>
            <a:pPr algn="l">
              <a:defRPr sz="1100" b="0"/>
            </a:pPr>
            <a:r>
              <a:rPr lang="pl-PL" sz="1100" b="0"/>
              <a:t>[w tym kobiety, mężczyźni]  stan na 31 grudnia danego roku</a:t>
            </a:r>
          </a:p>
          <a:p>
            <a:pPr algn="l">
              <a:defRPr sz="1100" b="0"/>
            </a:pPr>
            <a:r>
              <a:rPr lang="pl-PL" sz="1100" b="0"/>
              <a:t>Podkarpacie</a:t>
            </a:r>
            <a:r>
              <a:rPr lang="pl-PL" sz="1100" b="0" baseline="0"/>
              <a:t> 1998-2024</a:t>
            </a:r>
            <a:endParaRPr lang="pl-PL" sz="1100" b="0"/>
          </a:p>
        </c:rich>
      </c:tx>
      <c:layout>
        <c:manualLayout>
          <c:xMode val="edge"/>
          <c:yMode val="edge"/>
          <c:x val="0.27043413841533875"/>
          <c:y val="1.492011223198060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4450208429828626E-2"/>
          <c:y val="3.2376156129015551E-2"/>
          <c:w val="0.90028379866274644"/>
          <c:h val="0.86215866191809398"/>
        </c:manualLayout>
      </c:layout>
      <c:lineChart>
        <c:grouping val="standard"/>
        <c:varyColors val="0"/>
        <c:ser>
          <c:idx val="0"/>
          <c:order val="0"/>
          <c:tx>
            <c:strRef>
              <c:f>'1998-2024'!$E$2</c:f>
              <c:strCache>
                <c:ptCount val="1"/>
                <c:pt idx="0">
                  <c:v>bezrobotni ogółem</c:v>
                </c:pt>
              </c:strCache>
            </c:strRef>
          </c:tx>
          <c:spPr>
            <a:ln w="53975" cmpd="sng">
              <a:solidFill>
                <a:schemeClr val="tx1"/>
              </a:solidFill>
              <a:prstDash val="solid"/>
            </a:ln>
          </c:spPr>
          <c:marker>
            <c:symbol val="none"/>
          </c:marker>
          <c:cat>
            <c:strRef>
              <c:f>'1998-2024'!$B$11:$B$38</c:f>
              <c:strCache>
                <c:ptCount val="28"/>
                <c:pt idx="0">
                  <c:v>31XII98</c:v>
                </c:pt>
                <c:pt idx="1">
                  <c:v>31XII99</c:v>
                </c:pt>
                <c:pt idx="2">
                  <c:v>31XII00</c:v>
                </c:pt>
                <c:pt idx="3">
                  <c:v>31XII01</c:v>
                </c:pt>
                <c:pt idx="4">
                  <c:v>31XII02</c:v>
                </c:pt>
                <c:pt idx="5">
                  <c:v>31XII03</c:v>
                </c:pt>
                <c:pt idx="6">
                  <c:v>31XII04</c:v>
                </c:pt>
                <c:pt idx="7">
                  <c:v>31XII05</c:v>
                </c:pt>
                <c:pt idx="8">
                  <c:v>31XII06</c:v>
                </c:pt>
                <c:pt idx="9">
                  <c:v>31XII07</c:v>
                </c:pt>
                <c:pt idx="10">
                  <c:v>31XII08</c:v>
                </c:pt>
                <c:pt idx="11">
                  <c:v>31XII09</c:v>
                </c:pt>
                <c:pt idx="12">
                  <c:v>31XII10</c:v>
                </c:pt>
                <c:pt idx="13">
                  <c:v>31XII11</c:v>
                </c:pt>
                <c:pt idx="14">
                  <c:v>31XII12</c:v>
                </c:pt>
                <c:pt idx="15">
                  <c:v>31XII13</c:v>
                </c:pt>
                <c:pt idx="16">
                  <c:v>31XII14</c:v>
                </c:pt>
                <c:pt idx="17">
                  <c:v>31XII15</c:v>
                </c:pt>
                <c:pt idx="18">
                  <c:v>31XII16</c:v>
                </c:pt>
                <c:pt idx="19">
                  <c:v>31XII17</c:v>
                </c:pt>
                <c:pt idx="20">
                  <c:v>31XII18</c:v>
                </c:pt>
                <c:pt idx="21">
                  <c:v>31XII19</c:v>
                </c:pt>
                <c:pt idx="22">
                  <c:v>31XII20</c:v>
                </c:pt>
                <c:pt idx="23">
                  <c:v>31XII21</c:v>
                </c:pt>
                <c:pt idx="24">
                  <c:v>31XII22</c:v>
                </c:pt>
                <c:pt idx="25">
                  <c:v>31XII23</c:v>
                </c:pt>
                <c:pt idx="26">
                  <c:v>31XII24</c:v>
                </c:pt>
                <c:pt idx="27">
                  <c:v>31XII25</c:v>
                </c:pt>
              </c:strCache>
            </c:strRef>
          </c:cat>
          <c:val>
            <c:numRef>
              <c:f>'1998-2024'!$E$11:$E$38</c:f>
              <c:numCache>
                <c:formatCode>#,##0</c:formatCode>
                <c:ptCount val="28"/>
                <c:pt idx="0">
                  <c:v>137367</c:v>
                </c:pt>
                <c:pt idx="1">
                  <c:v>164692</c:v>
                </c:pt>
                <c:pt idx="2">
                  <c:v>182168</c:v>
                </c:pt>
                <c:pt idx="3">
                  <c:v>195173</c:v>
                </c:pt>
                <c:pt idx="4">
                  <c:v>187519</c:v>
                </c:pt>
                <c:pt idx="5">
                  <c:v>182497</c:v>
                </c:pt>
                <c:pt idx="6">
                  <c:v>170293</c:v>
                </c:pt>
                <c:pt idx="7">
                  <c:v>163956</c:v>
                </c:pt>
                <c:pt idx="8">
                  <c:v>145246</c:v>
                </c:pt>
                <c:pt idx="9">
                  <c:v>126360</c:v>
                </c:pt>
                <c:pt idx="10">
                  <c:v>115567</c:v>
                </c:pt>
                <c:pt idx="11">
                  <c:v>141944</c:v>
                </c:pt>
                <c:pt idx="12">
                  <c:v>142263</c:v>
                </c:pt>
                <c:pt idx="13">
                  <c:v>146208</c:v>
                </c:pt>
                <c:pt idx="14">
                  <c:v>153807</c:v>
                </c:pt>
                <c:pt idx="15">
                  <c:v>154216</c:v>
                </c:pt>
                <c:pt idx="16">
                  <c:v>137932</c:v>
                </c:pt>
                <c:pt idx="17">
                  <c:v>123514</c:v>
                </c:pt>
                <c:pt idx="18">
                  <c:v>107567</c:v>
                </c:pt>
                <c:pt idx="19">
                  <c:v>90972</c:v>
                </c:pt>
                <c:pt idx="20">
                  <c:v>82933</c:v>
                </c:pt>
                <c:pt idx="21">
                  <c:v>75455</c:v>
                </c:pt>
                <c:pt idx="22">
                  <c:v>87326</c:v>
                </c:pt>
                <c:pt idx="23">
                  <c:v>77291</c:v>
                </c:pt>
                <c:pt idx="24">
                  <c:v>69046</c:v>
                </c:pt>
                <c:pt idx="25">
                  <c:v>67653</c:v>
                </c:pt>
                <c:pt idx="26">
                  <c:v>67336</c:v>
                </c:pt>
                <c:pt idx="27">
                  <c:v>72059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DB0D-4AB1-97A2-214864E725BA}"/>
            </c:ext>
          </c:extLst>
        </c:ser>
        <c:ser>
          <c:idx val="1"/>
          <c:order val="1"/>
          <c:tx>
            <c:strRef>
              <c:f>'1998-2024'!$F$2</c:f>
              <c:strCache>
                <c:ptCount val="1"/>
                <c:pt idx="0">
                  <c:v>w tym kobiety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strRef>
              <c:f>'1998-2024'!$B$11:$B$38</c:f>
              <c:strCache>
                <c:ptCount val="28"/>
                <c:pt idx="0">
                  <c:v>31XII98</c:v>
                </c:pt>
                <c:pt idx="1">
                  <c:v>31XII99</c:v>
                </c:pt>
                <c:pt idx="2">
                  <c:v>31XII00</c:v>
                </c:pt>
                <c:pt idx="3">
                  <c:v>31XII01</c:v>
                </c:pt>
                <c:pt idx="4">
                  <c:v>31XII02</c:v>
                </c:pt>
                <c:pt idx="5">
                  <c:v>31XII03</c:v>
                </c:pt>
                <c:pt idx="6">
                  <c:v>31XII04</c:v>
                </c:pt>
                <c:pt idx="7">
                  <c:v>31XII05</c:v>
                </c:pt>
                <c:pt idx="8">
                  <c:v>31XII06</c:v>
                </c:pt>
                <c:pt idx="9">
                  <c:v>31XII07</c:v>
                </c:pt>
                <c:pt idx="10">
                  <c:v>31XII08</c:v>
                </c:pt>
                <c:pt idx="11">
                  <c:v>31XII09</c:v>
                </c:pt>
                <c:pt idx="12">
                  <c:v>31XII10</c:v>
                </c:pt>
                <c:pt idx="13">
                  <c:v>31XII11</c:v>
                </c:pt>
                <c:pt idx="14">
                  <c:v>31XII12</c:v>
                </c:pt>
                <c:pt idx="15">
                  <c:v>31XII13</c:v>
                </c:pt>
                <c:pt idx="16">
                  <c:v>31XII14</c:v>
                </c:pt>
                <c:pt idx="17">
                  <c:v>31XII15</c:v>
                </c:pt>
                <c:pt idx="18">
                  <c:v>31XII16</c:v>
                </c:pt>
                <c:pt idx="19">
                  <c:v>31XII17</c:v>
                </c:pt>
                <c:pt idx="20">
                  <c:v>31XII18</c:v>
                </c:pt>
                <c:pt idx="21">
                  <c:v>31XII19</c:v>
                </c:pt>
                <c:pt idx="22">
                  <c:v>31XII20</c:v>
                </c:pt>
                <c:pt idx="23">
                  <c:v>31XII21</c:v>
                </c:pt>
                <c:pt idx="24">
                  <c:v>31XII22</c:v>
                </c:pt>
                <c:pt idx="25">
                  <c:v>31XII23</c:v>
                </c:pt>
                <c:pt idx="26">
                  <c:v>31XII24</c:v>
                </c:pt>
                <c:pt idx="27">
                  <c:v>31XII25</c:v>
                </c:pt>
              </c:strCache>
            </c:strRef>
          </c:cat>
          <c:val>
            <c:numRef>
              <c:f>'1998-2024'!$F$11:$F$38</c:f>
              <c:numCache>
                <c:formatCode>#,##0</c:formatCode>
                <c:ptCount val="28"/>
                <c:pt idx="0">
                  <c:v>77793</c:v>
                </c:pt>
                <c:pt idx="1">
                  <c:v>87827</c:v>
                </c:pt>
                <c:pt idx="2">
                  <c:v>97270</c:v>
                </c:pt>
                <c:pt idx="3">
                  <c:v>100472</c:v>
                </c:pt>
                <c:pt idx="4">
                  <c:v>93772</c:v>
                </c:pt>
                <c:pt idx="5">
                  <c:v>92598</c:v>
                </c:pt>
                <c:pt idx="6">
                  <c:v>88723</c:v>
                </c:pt>
                <c:pt idx="7">
                  <c:v>87626</c:v>
                </c:pt>
                <c:pt idx="8">
                  <c:v>81490</c:v>
                </c:pt>
                <c:pt idx="9">
                  <c:v>73127</c:v>
                </c:pt>
                <c:pt idx="10">
                  <c:v>64122</c:v>
                </c:pt>
                <c:pt idx="11">
                  <c:v>71158</c:v>
                </c:pt>
                <c:pt idx="12">
                  <c:v>73359</c:v>
                </c:pt>
                <c:pt idx="13">
                  <c:v>77403</c:v>
                </c:pt>
                <c:pt idx="14">
                  <c:v>77880</c:v>
                </c:pt>
                <c:pt idx="15">
                  <c:v>77415</c:v>
                </c:pt>
                <c:pt idx="16">
                  <c:v>70305</c:v>
                </c:pt>
                <c:pt idx="17">
                  <c:v>63579</c:v>
                </c:pt>
                <c:pt idx="18">
                  <c:v>56384</c:v>
                </c:pt>
                <c:pt idx="19">
                  <c:v>48619</c:v>
                </c:pt>
                <c:pt idx="20">
                  <c:v>45024</c:v>
                </c:pt>
                <c:pt idx="21">
                  <c:v>40284</c:v>
                </c:pt>
                <c:pt idx="22">
                  <c:v>46036</c:v>
                </c:pt>
                <c:pt idx="23">
                  <c:v>41090</c:v>
                </c:pt>
                <c:pt idx="24">
                  <c:v>36088</c:v>
                </c:pt>
                <c:pt idx="25">
                  <c:v>41090</c:v>
                </c:pt>
                <c:pt idx="26">
                  <c:v>33994</c:v>
                </c:pt>
                <c:pt idx="27">
                  <c:v>35372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DB0D-4AB1-97A2-214864E725BA}"/>
            </c:ext>
          </c:extLst>
        </c:ser>
        <c:ser>
          <c:idx val="2"/>
          <c:order val="2"/>
          <c:tx>
            <c:strRef>
              <c:f>'1998-2024'!$G$2</c:f>
              <c:strCache>
                <c:ptCount val="1"/>
                <c:pt idx="0">
                  <c:v>w tym mężczyźni</c:v>
                </c:pt>
              </c:strCache>
            </c:strRef>
          </c:tx>
          <c:spPr>
            <a:ln w="28575">
              <a:solidFill>
                <a:schemeClr val="tx1"/>
              </a:solidFill>
              <a:prstDash val="solid"/>
            </a:ln>
          </c:spPr>
          <c:marker>
            <c:symbol val="none"/>
          </c:marker>
          <c:cat>
            <c:strRef>
              <c:f>'1998-2024'!$B$11:$B$38</c:f>
              <c:strCache>
                <c:ptCount val="28"/>
                <c:pt idx="0">
                  <c:v>31XII98</c:v>
                </c:pt>
                <c:pt idx="1">
                  <c:v>31XII99</c:v>
                </c:pt>
                <c:pt idx="2">
                  <c:v>31XII00</c:v>
                </c:pt>
                <c:pt idx="3">
                  <c:v>31XII01</c:v>
                </c:pt>
                <c:pt idx="4">
                  <c:v>31XII02</c:v>
                </c:pt>
                <c:pt idx="5">
                  <c:v>31XII03</c:v>
                </c:pt>
                <c:pt idx="6">
                  <c:v>31XII04</c:v>
                </c:pt>
                <c:pt idx="7">
                  <c:v>31XII05</c:v>
                </c:pt>
                <c:pt idx="8">
                  <c:v>31XII06</c:v>
                </c:pt>
                <c:pt idx="9">
                  <c:v>31XII07</c:v>
                </c:pt>
                <c:pt idx="10">
                  <c:v>31XII08</c:v>
                </c:pt>
                <c:pt idx="11">
                  <c:v>31XII09</c:v>
                </c:pt>
                <c:pt idx="12">
                  <c:v>31XII10</c:v>
                </c:pt>
                <c:pt idx="13">
                  <c:v>31XII11</c:v>
                </c:pt>
                <c:pt idx="14">
                  <c:v>31XII12</c:v>
                </c:pt>
                <c:pt idx="15">
                  <c:v>31XII13</c:v>
                </c:pt>
                <c:pt idx="16">
                  <c:v>31XII14</c:v>
                </c:pt>
                <c:pt idx="17">
                  <c:v>31XII15</c:v>
                </c:pt>
                <c:pt idx="18">
                  <c:v>31XII16</c:v>
                </c:pt>
                <c:pt idx="19">
                  <c:v>31XII17</c:v>
                </c:pt>
                <c:pt idx="20">
                  <c:v>31XII18</c:v>
                </c:pt>
                <c:pt idx="21">
                  <c:v>31XII19</c:v>
                </c:pt>
                <c:pt idx="22">
                  <c:v>31XII20</c:v>
                </c:pt>
                <c:pt idx="23">
                  <c:v>31XII21</c:v>
                </c:pt>
                <c:pt idx="24">
                  <c:v>31XII22</c:v>
                </c:pt>
                <c:pt idx="25">
                  <c:v>31XII23</c:v>
                </c:pt>
                <c:pt idx="26">
                  <c:v>31XII24</c:v>
                </c:pt>
                <c:pt idx="27">
                  <c:v>31XII25</c:v>
                </c:pt>
              </c:strCache>
            </c:strRef>
          </c:cat>
          <c:val>
            <c:numRef>
              <c:f>'1998-2024'!$G$11:$G$38</c:f>
              <c:numCache>
                <c:formatCode>#,##0</c:formatCode>
                <c:ptCount val="28"/>
                <c:pt idx="0">
                  <c:v>59574</c:v>
                </c:pt>
                <c:pt idx="1">
                  <c:v>76865</c:v>
                </c:pt>
                <c:pt idx="2">
                  <c:v>84898</c:v>
                </c:pt>
                <c:pt idx="3">
                  <c:v>94701</c:v>
                </c:pt>
                <c:pt idx="4">
                  <c:v>93747</c:v>
                </c:pt>
                <c:pt idx="5">
                  <c:v>89899</c:v>
                </c:pt>
                <c:pt idx="6">
                  <c:v>81570</c:v>
                </c:pt>
                <c:pt idx="7">
                  <c:v>76330</c:v>
                </c:pt>
                <c:pt idx="8">
                  <c:v>63756</c:v>
                </c:pt>
                <c:pt idx="9">
                  <c:v>53233</c:v>
                </c:pt>
                <c:pt idx="10">
                  <c:v>51445</c:v>
                </c:pt>
                <c:pt idx="11">
                  <c:v>70786</c:v>
                </c:pt>
                <c:pt idx="12">
                  <c:v>68904</c:v>
                </c:pt>
                <c:pt idx="13">
                  <c:v>68805</c:v>
                </c:pt>
                <c:pt idx="14">
                  <c:v>75927</c:v>
                </c:pt>
                <c:pt idx="15">
                  <c:v>76801</c:v>
                </c:pt>
                <c:pt idx="16">
                  <c:v>67627</c:v>
                </c:pt>
                <c:pt idx="17">
                  <c:v>59935</c:v>
                </c:pt>
                <c:pt idx="18">
                  <c:v>51183</c:v>
                </c:pt>
                <c:pt idx="19">
                  <c:v>42353</c:v>
                </c:pt>
                <c:pt idx="20">
                  <c:v>37909</c:v>
                </c:pt>
                <c:pt idx="21">
                  <c:v>35171</c:v>
                </c:pt>
                <c:pt idx="22">
                  <c:v>41290</c:v>
                </c:pt>
                <c:pt idx="23">
                  <c:v>36201</c:v>
                </c:pt>
                <c:pt idx="24">
                  <c:v>32958</c:v>
                </c:pt>
                <c:pt idx="25">
                  <c:v>26563</c:v>
                </c:pt>
                <c:pt idx="26">
                  <c:v>33342</c:v>
                </c:pt>
                <c:pt idx="27">
                  <c:v>36687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DB0D-4AB1-97A2-214864E725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7368320"/>
        <c:axId val="227398784"/>
      </c:lineChart>
      <c:catAx>
        <c:axId val="227368320"/>
        <c:scaling>
          <c:orientation val="minMax"/>
        </c:scaling>
        <c:delete val="0"/>
        <c:axPos val="b"/>
        <c:majorGridlines>
          <c:spPr>
            <a:ln w="22225">
              <a:solidFill>
                <a:schemeClr val="tx2">
                  <a:lumMod val="60000"/>
                  <a:lumOff val="40000"/>
                  <a:alpha val="76000"/>
                </a:schemeClr>
              </a:solidFill>
              <a:prstDash val="sysDot"/>
            </a:ln>
          </c:spPr>
        </c:majorGridlines>
        <c:numFmt formatCode="General" sourceLinked="1"/>
        <c:majorTickMark val="none"/>
        <c:minorTickMark val="none"/>
        <c:tickLblPos val="nextTo"/>
        <c:spPr>
          <a:ln w="19050">
            <a:solidFill>
              <a:schemeClr val="accent4">
                <a:lumMod val="20000"/>
                <a:lumOff val="80000"/>
                <a:alpha val="68000"/>
              </a:schemeClr>
            </a:solidFill>
            <a:prstDash val="solid"/>
          </a:ln>
        </c:spPr>
        <c:txPr>
          <a:bodyPr rot="-5400000" vert="horz"/>
          <a:lstStyle/>
          <a:p>
            <a:pPr>
              <a:defRPr sz="600" b="0">
                <a:solidFill>
                  <a:schemeClr val="tx1"/>
                </a:solidFill>
              </a:defRPr>
            </a:pPr>
            <a:endParaRPr lang="pl-PL"/>
          </a:p>
        </c:txPr>
        <c:crossAx val="227398784"/>
        <c:crosses val="autoZero"/>
        <c:auto val="1"/>
        <c:lblAlgn val="ctr"/>
        <c:lblOffset val="100"/>
        <c:noMultiLvlLbl val="1"/>
      </c:catAx>
      <c:valAx>
        <c:axId val="227398784"/>
        <c:scaling>
          <c:orientation val="minMax"/>
        </c:scaling>
        <c:delete val="0"/>
        <c:axPos val="l"/>
        <c:majorGridlines>
          <c:spPr>
            <a:ln w="3175">
              <a:solidFill>
                <a:srgbClr val="D2D9FE">
                  <a:alpha val="0"/>
                </a:srgbClr>
              </a:solidFill>
            </a:ln>
          </c:spPr>
        </c:majorGridlines>
        <c:minorGridlines>
          <c:spPr>
            <a:ln w="3175">
              <a:solidFill>
                <a:schemeClr val="tx2">
                  <a:lumMod val="60000"/>
                  <a:lumOff val="40000"/>
                  <a:alpha val="55000"/>
                </a:schemeClr>
              </a:solidFill>
              <a:prstDash val="sysDot"/>
            </a:ln>
          </c:spPr>
        </c:minorGridlines>
        <c:numFmt formatCode="#,##0" sourceLinked="1"/>
        <c:majorTickMark val="out"/>
        <c:minorTickMark val="none"/>
        <c:tickLblPos val="nextTo"/>
        <c:spPr>
          <a:noFill/>
          <a:ln>
            <a:solidFill>
              <a:schemeClr val="accent4">
                <a:lumMod val="60000"/>
                <a:lumOff val="40000"/>
              </a:schemeClr>
            </a:solidFill>
          </a:ln>
        </c:spPr>
        <c:txPr>
          <a:bodyPr/>
          <a:lstStyle/>
          <a:p>
            <a:pPr>
              <a:defRPr sz="700" b="0">
                <a:solidFill>
                  <a:schemeClr val="tx1"/>
                </a:solidFill>
              </a:defRPr>
            </a:pPr>
            <a:endParaRPr lang="pl-PL"/>
          </a:p>
        </c:txPr>
        <c:crossAx val="227368320"/>
        <c:crosses val="autoZero"/>
        <c:crossBetween val="midCat"/>
        <c:majorUnit val="20000"/>
        <c:minorUnit val="4000"/>
      </c:valAx>
      <c:spPr>
        <a:noFill/>
      </c:spPr>
    </c:plotArea>
    <c:legend>
      <c:legendPos val="t"/>
      <c:layout>
        <c:manualLayout>
          <c:xMode val="edge"/>
          <c:yMode val="edge"/>
          <c:x val="9.0852828477554479E-2"/>
          <c:y val="0.71923554699321779"/>
          <c:w val="0.37221857898604577"/>
          <c:h val="0.1546241261450477"/>
        </c:manualLayout>
      </c:layout>
      <c:overlay val="0"/>
      <c:txPr>
        <a:bodyPr/>
        <a:lstStyle/>
        <a:p>
          <a:pPr>
            <a:defRPr sz="1050">
              <a:solidFill>
                <a:schemeClr val="tx1"/>
              </a:solidFill>
            </a:defRPr>
          </a:pPr>
          <a:endParaRPr lang="pl-P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200" b="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pl-PL" sz="1200" b="0">
                <a:latin typeface="Arial" panose="020B0604020202020204" pitchFamily="34" charset="0"/>
                <a:cs typeface="Arial" panose="020B0604020202020204" pitchFamily="34" charset="0"/>
              </a:rPr>
              <a:t>Województwo </a:t>
            </a:r>
            <a:r>
              <a:rPr lang="en-US" sz="1200" b="0">
                <a:latin typeface="Arial" panose="020B0604020202020204" pitchFamily="34" charset="0"/>
                <a:cs typeface="Arial" panose="020B0604020202020204" pitchFamily="34" charset="0"/>
              </a:rPr>
              <a:t>podkarpackie</a:t>
            </a:r>
            <a:endParaRPr lang="pl-PL" sz="1200" b="0">
              <a:latin typeface="Arial" panose="020B0604020202020204" pitchFamily="34" charset="0"/>
              <a:cs typeface="Arial" panose="020B0604020202020204" pitchFamily="34" charset="0"/>
            </a:endParaRPr>
          </a:p>
          <a:p>
            <a:pPr algn="l">
              <a:defRPr sz="1200" b="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pl-PL" sz="1200" b="0">
                <a:latin typeface="Arial" panose="020B0604020202020204" pitchFamily="34" charset="0"/>
                <a:cs typeface="Arial" panose="020B0604020202020204" pitchFamily="34" charset="0"/>
              </a:rPr>
              <a:t>liczba bezrobotnych 1998-2024</a:t>
            </a:r>
            <a:endParaRPr lang="en-US" sz="1200" b="0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37410667771803169"/>
          <c:y val="1.7080338110000069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5138296558045839E-2"/>
          <c:y val="3.2376028706750964E-2"/>
          <c:w val="0.90028379866274644"/>
          <c:h val="0.7829542932841993"/>
        </c:manualLayout>
      </c:layout>
      <c:lineChart>
        <c:grouping val="standard"/>
        <c:varyColors val="0"/>
        <c:ser>
          <c:idx val="1"/>
          <c:order val="0"/>
          <c:tx>
            <c:strRef>
              <c:f>'1998-2024'!$M$2</c:f>
              <c:strCache>
                <c:ptCount val="1"/>
                <c:pt idx="0">
                  <c:v>podkarpackie</c:v>
                </c:pt>
              </c:strCache>
            </c:strRef>
          </c:tx>
          <c:spPr>
            <a:ln w="41275">
              <a:solidFill>
                <a:srgbClr val="0000FF"/>
              </a:solidFill>
              <a:prstDash val="sysDot"/>
            </a:ln>
          </c:spPr>
          <c:marker>
            <c:symbol val="none"/>
          </c:marker>
          <c:cat>
            <c:strRef>
              <c:f>'1998-2024'!$B$11:$B$38</c:f>
              <c:strCache>
                <c:ptCount val="28"/>
                <c:pt idx="0">
                  <c:v>31XII98</c:v>
                </c:pt>
                <c:pt idx="1">
                  <c:v>31XII99</c:v>
                </c:pt>
                <c:pt idx="2">
                  <c:v>31XII00</c:v>
                </c:pt>
                <c:pt idx="3">
                  <c:v>31XII01</c:v>
                </c:pt>
                <c:pt idx="4">
                  <c:v>31XII02</c:v>
                </c:pt>
                <c:pt idx="5">
                  <c:v>31XII03</c:v>
                </c:pt>
                <c:pt idx="6">
                  <c:v>31XII04</c:v>
                </c:pt>
                <c:pt idx="7">
                  <c:v>31XII05</c:v>
                </c:pt>
                <c:pt idx="8">
                  <c:v>31XII06</c:v>
                </c:pt>
                <c:pt idx="9">
                  <c:v>31XII07</c:v>
                </c:pt>
                <c:pt idx="10">
                  <c:v>31XII08</c:v>
                </c:pt>
                <c:pt idx="11">
                  <c:v>31XII09</c:v>
                </c:pt>
                <c:pt idx="12">
                  <c:v>31XII10</c:v>
                </c:pt>
                <c:pt idx="13">
                  <c:v>31XII11</c:v>
                </c:pt>
                <c:pt idx="14">
                  <c:v>31XII12</c:v>
                </c:pt>
                <c:pt idx="15">
                  <c:v>31XII13</c:v>
                </c:pt>
                <c:pt idx="16">
                  <c:v>31XII14</c:v>
                </c:pt>
                <c:pt idx="17">
                  <c:v>31XII15</c:v>
                </c:pt>
                <c:pt idx="18">
                  <c:v>31XII16</c:v>
                </c:pt>
                <c:pt idx="19">
                  <c:v>31XII17</c:v>
                </c:pt>
                <c:pt idx="20">
                  <c:v>31XII18</c:v>
                </c:pt>
                <c:pt idx="21">
                  <c:v>31XII19</c:v>
                </c:pt>
                <c:pt idx="22">
                  <c:v>31XII20</c:v>
                </c:pt>
                <c:pt idx="23">
                  <c:v>31XII21</c:v>
                </c:pt>
                <c:pt idx="24">
                  <c:v>31XII22</c:v>
                </c:pt>
                <c:pt idx="25">
                  <c:v>31XII23</c:v>
                </c:pt>
                <c:pt idx="26">
                  <c:v>31XII24</c:v>
                </c:pt>
                <c:pt idx="27">
                  <c:v>31XII25</c:v>
                </c:pt>
              </c:strCache>
            </c:strRef>
          </c:cat>
          <c:val>
            <c:numRef>
              <c:f>'1998-2024'!$E$11:$E$38</c:f>
              <c:numCache>
                <c:formatCode>#,##0</c:formatCode>
                <c:ptCount val="28"/>
                <c:pt idx="0">
                  <c:v>137367</c:v>
                </c:pt>
                <c:pt idx="1">
                  <c:v>164692</c:v>
                </c:pt>
                <c:pt idx="2">
                  <c:v>182168</c:v>
                </c:pt>
                <c:pt idx="3">
                  <c:v>195173</c:v>
                </c:pt>
                <c:pt idx="4">
                  <c:v>187519</c:v>
                </c:pt>
                <c:pt idx="5">
                  <c:v>182497</c:v>
                </c:pt>
                <c:pt idx="6">
                  <c:v>170293</c:v>
                </c:pt>
                <c:pt idx="7">
                  <c:v>163956</c:v>
                </c:pt>
                <c:pt idx="8">
                  <c:v>145246</c:v>
                </c:pt>
                <c:pt idx="9">
                  <c:v>126360</c:v>
                </c:pt>
                <c:pt idx="10">
                  <c:v>115567</c:v>
                </c:pt>
                <c:pt idx="11">
                  <c:v>141944</c:v>
                </c:pt>
                <c:pt idx="12">
                  <c:v>142263</c:v>
                </c:pt>
                <c:pt idx="13">
                  <c:v>146208</c:v>
                </c:pt>
                <c:pt idx="14">
                  <c:v>153807</c:v>
                </c:pt>
                <c:pt idx="15">
                  <c:v>154216</c:v>
                </c:pt>
                <c:pt idx="16">
                  <c:v>137932</c:v>
                </c:pt>
                <c:pt idx="17">
                  <c:v>123514</c:v>
                </c:pt>
                <c:pt idx="18">
                  <c:v>107567</c:v>
                </c:pt>
                <c:pt idx="19">
                  <c:v>90972</c:v>
                </c:pt>
                <c:pt idx="20">
                  <c:v>82933</c:v>
                </c:pt>
                <c:pt idx="21">
                  <c:v>75455</c:v>
                </c:pt>
                <c:pt idx="22">
                  <c:v>87326</c:v>
                </c:pt>
                <c:pt idx="23">
                  <c:v>77291</c:v>
                </c:pt>
                <c:pt idx="24">
                  <c:v>69046</c:v>
                </c:pt>
                <c:pt idx="25">
                  <c:v>67653</c:v>
                </c:pt>
                <c:pt idx="26">
                  <c:v>67336</c:v>
                </c:pt>
                <c:pt idx="27">
                  <c:v>72059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9A-47E3-A260-6C0EB5963A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7368320"/>
        <c:axId val="227398784"/>
      </c:lineChart>
      <c:catAx>
        <c:axId val="227368320"/>
        <c:scaling>
          <c:orientation val="minMax"/>
        </c:scaling>
        <c:delete val="0"/>
        <c:axPos val="b"/>
        <c:majorGridlines>
          <c:spPr>
            <a:ln w="15875">
              <a:solidFill>
                <a:schemeClr val="tx2">
                  <a:lumMod val="60000"/>
                  <a:lumOff val="40000"/>
                  <a:alpha val="27000"/>
                </a:schemeClr>
              </a:solidFill>
              <a:prstDash val="sysDot"/>
            </a:ln>
          </c:spPr>
        </c:majorGridlines>
        <c:numFmt formatCode="General" sourceLinked="1"/>
        <c:majorTickMark val="none"/>
        <c:minorTickMark val="none"/>
        <c:tickLblPos val="nextTo"/>
        <c:spPr>
          <a:ln w="6350">
            <a:solidFill>
              <a:schemeClr val="accent2">
                <a:lumMod val="50000"/>
                <a:alpha val="68000"/>
              </a:schemeClr>
            </a:solidFill>
            <a:prstDash val="solid"/>
          </a:ln>
        </c:spPr>
        <c:txPr>
          <a:bodyPr rot="-5400000" vert="horz"/>
          <a:lstStyle/>
          <a:p>
            <a:pPr>
              <a:defRPr sz="800" b="0">
                <a:solidFill>
                  <a:schemeClr val="tx1"/>
                </a:solidFill>
              </a:defRPr>
            </a:pPr>
            <a:endParaRPr lang="pl-PL"/>
          </a:p>
        </c:txPr>
        <c:crossAx val="227398784"/>
        <c:crosses val="autoZero"/>
        <c:auto val="1"/>
        <c:lblAlgn val="ctr"/>
        <c:lblOffset val="100"/>
        <c:noMultiLvlLbl val="1"/>
      </c:catAx>
      <c:valAx>
        <c:axId val="227398784"/>
        <c:scaling>
          <c:orientation val="minMax"/>
        </c:scaling>
        <c:delete val="1"/>
        <c:axPos val="l"/>
        <c:majorGridlines>
          <c:spPr>
            <a:ln w="3175">
              <a:solidFill>
                <a:srgbClr val="D2D9FE">
                  <a:alpha val="0"/>
                </a:srgbClr>
              </a:solidFill>
            </a:ln>
          </c:spPr>
        </c:majorGridlines>
        <c:minorGridlines>
          <c:spPr>
            <a:ln w="3175">
              <a:solidFill>
                <a:srgbClr val="5353FF">
                  <a:alpha val="55000"/>
                </a:srgbClr>
              </a:solidFill>
              <a:prstDash val="sysDot"/>
            </a:ln>
          </c:spPr>
        </c:minorGridlines>
        <c:numFmt formatCode="#,##0" sourceLinked="1"/>
        <c:majorTickMark val="out"/>
        <c:minorTickMark val="none"/>
        <c:tickLblPos val="nextTo"/>
        <c:crossAx val="227368320"/>
        <c:crosses val="autoZero"/>
        <c:crossBetween val="midCat"/>
        <c:majorUnit val="2"/>
        <c:minorUnit val="0.5"/>
      </c:valAx>
      <c:spPr>
        <a:noFill/>
      </c:spPr>
    </c:plotArea>
    <c:legend>
      <c:legendPos val="t"/>
      <c:layout>
        <c:manualLayout>
          <c:xMode val="edge"/>
          <c:yMode val="edge"/>
          <c:x val="0.12234100168060238"/>
          <c:y val="0.5809685707172445"/>
          <c:w val="0.29318229024783377"/>
          <c:h val="0.11472113759543098"/>
        </c:manualLayout>
      </c:layout>
      <c:overlay val="0"/>
      <c:txPr>
        <a:bodyPr/>
        <a:lstStyle/>
        <a:p>
          <a:pPr>
            <a:defRPr sz="1000">
              <a:solidFill>
                <a:schemeClr val="tx1"/>
              </a:solidFill>
            </a:defRPr>
          </a:pPr>
          <a:endParaRPr lang="pl-P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4450208429828626E-2"/>
          <c:y val="3.2376025588762396E-2"/>
          <c:w val="0.90624358413548844"/>
          <c:h val="0.86215856828084902"/>
        </c:manualLayout>
      </c:layout>
      <c:lineChart>
        <c:grouping val="standard"/>
        <c:varyColors val="0"/>
        <c:ser>
          <c:idx val="0"/>
          <c:order val="0"/>
          <c:tx>
            <c:strRef>
              <c:f>'1998-2024'!$C$2</c:f>
              <c:strCache>
                <c:ptCount val="1"/>
                <c:pt idx="0">
                  <c:v>POLSKA</c:v>
                </c:pt>
              </c:strCache>
            </c:strRef>
          </c:tx>
          <c:spPr>
            <a:ln w="53975">
              <a:solidFill>
                <a:schemeClr val="bg1">
                  <a:lumMod val="65000"/>
                </a:schemeClr>
              </a:solidFill>
              <a:prstDash val="sysDot"/>
            </a:ln>
          </c:spPr>
          <c:marker>
            <c:symbol val="none"/>
          </c:marker>
          <c:dLbls>
            <c:dLbl>
              <c:idx val="0"/>
              <c:layout>
                <c:manualLayout>
                  <c:x val="-5.8418645400926776E-3"/>
                  <c:y val="8.167550096772881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37C-4BED-BCF6-5371AF49DA7D}"/>
                </c:ext>
              </c:extLst>
            </c:dLbl>
            <c:dLbl>
              <c:idx val="21"/>
              <c:layout>
                <c:manualLayout>
                  <c:x val="0"/>
                  <c:y val="-0.13646546582543459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37C-4BED-BCF6-5371AF49DA7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2">
                        <a:lumMod val="75000"/>
                      </a:schemeClr>
                    </a:solidFill>
                  </a:defRPr>
                </a:pPr>
                <a:endParaRPr lang="pl-PL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'1998-2024'!$B$3:$B$38</c:f>
              <c:strCache>
                <c:ptCount val="36"/>
                <c:pt idx="0">
                  <c:v>31XII90</c:v>
                </c:pt>
                <c:pt idx="1">
                  <c:v>31XII91</c:v>
                </c:pt>
                <c:pt idx="2">
                  <c:v>31XII92</c:v>
                </c:pt>
                <c:pt idx="3">
                  <c:v>31XII93</c:v>
                </c:pt>
                <c:pt idx="4">
                  <c:v>31XII94</c:v>
                </c:pt>
                <c:pt idx="5">
                  <c:v>31XII95</c:v>
                </c:pt>
                <c:pt idx="6">
                  <c:v>31XII96</c:v>
                </c:pt>
                <c:pt idx="7">
                  <c:v>31XII97</c:v>
                </c:pt>
                <c:pt idx="8">
                  <c:v>31XII98</c:v>
                </c:pt>
                <c:pt idx="9">
                  <c:v>31XII99</c:v>
                </c:pt>
                <c:pt idx="10">
                  <c:v>31XII00</c:v>
                </c:pt>
                <c:pt idx="11">
                  <c:v>31XII01</c:v>
                </c:pt>
                <c:pt idx="12">
                  <c:v>31XII02</c:v>
                </c:pt>
                <c:pt idx="13">
                  <c:v>31XII03</c:v>
                </c:pt>
                <c:pt idx="14">
                  <c:v>31XII04</c:v>
                </c:pt>
                <c:pt idx="15">
                  <c:v>31XII05</c:v>
                </c:pt>
                <c:pt idx="16">
                  <c:v>31XII06</c:v>
                </c:pt>
                <c:pt idx="17">
                  <c:v>31XII07</c:v>
                </c:pt>
                <c:pt idx="18">
                  <c:v>31XII08</c:v>
                </c:pt>
                <c:pt idx="19">
                  <c:v>31XII09</c:v>
                </c:pt>
                <c:pt idx="20">
                  <c:v>31XII10</c:v>
                </c:pt>
                <c:pt idx="21">
                  <c:v>31XII11</c:v>
                </c:pt>
                <c:pt idx="22">
                  <c:v>31XII12</c:v>
                </c:pt>
                <c:pt idx="23">
                  <c:v>31XII13</c:v>
                </c:pt>
                <c:pt idx="24">
                  <c:v>31XII14</c:v>
                </c:pt>
                <c:pt idx="25">
                  <c:v>31XII15</c:v>
                </c:pt>
                <c:pt idx="26">
                  <c:v>31XII16</c:v>
                </c:pt>
                <c:pt idx="27">
                  <c:v>31XII17</c:v>
                </c:pt>
                <c:pt idx="28">
                  <c:v>31XII18</c:v>
                </c:pt>
                <c:pt idx="29">
                  <c:v>31XII19</c:v>
                </c:pt>
                <c:pt idx="30">
                  <c:v>31XII20</c:v>
                </c:pt>
                <c:pt idx="31">
                  <c:v>31XII21</c:v>
                </c:pt>
                <c:pt idx="32">
                  <c:v>31XII22</c:v>
                </c:pt>
                <c:pt idx="33">
                  <c:v>31XII23</c:v>
                </c:pt>
                <c:pt idx="34">
                  <c:v>31XII24</c:v>
                </c:pt>
                <c:pt idx="35">
                  <c:v>31XII25</c:v>
                </c:pt>
              </c:strCache>
            </c:strRef>
          </c:cat>
          <c:val>
            <c:numRef>
              <c:f>'1998-2024'!$C$3:$C$38</c:f>
              <c:numCache>
                <c:formatCode>General</c:formatCode>
                <c:ptCount val="36"/>
                <c:pt idx="0">
                  <c:v>6.5</c:v>
                </c:pt>
                <c:pt idx="1">
                  <c:v>12.2</c:v>
                </c:pt>
                <c:pt idx="2">
                  <c:v>14.3</c:v>
                </c:pt>
                <c:pt idx="3">
                  <c:v>16.399999999999999</c:v>
                </c:pt>
                <c:pt idx="4" formatCode="0.0">
                  <c:v>16</c:v>
                </c:pt>
                <c:pt idx="5">
                  <c:v>14.9</c:v>
                </c:pt>
                <c:pt idx="6">
                  <c:v>13.2</c:v>
                </c:pt>
                <c:pt idx="7">
                  <c:v>10.3</c:v>
                </c:pt>
                <c:pt idx="8">
                  <c:v>10.4</c:v>
                </c:pt>
                <c:pt idx="9">
                  <c:v>13.1</c:v>
                </c:pt>
                <c:pt idx="10">
                  <c:v>15.1</c:v>
                </c:pt>
                <c:pt idx="11">
                  <c:v>17.5</c:v>
                </c:pt>
                <c:pt idx="12" formatCode="0.0">
                  <c:v>18</c:v>
                </c:pt>
                <c:pt idx="13" formatCode="0.0">
                  <c:v>20</c:v>
                </c:pt>
                <c:pt idx="14" formatCode="0.0">
                  <c:v>19</c:v>
                </c:pt>
                <c:pt idx="15">
                  <c:v>17.600000000000001</c:v>
                </c:pt>
                <c:pt idx="16">
                  <c:v>14.8</c:v>
                </c:pt>
                <c:pt idx="17">
                  <c:v>11.2</c:v>
                </c:pt>
                <c:pt idx="18">
                  <c:v>9.5</c:v>
                </c:pt>
                <c:pt idx="19">
                  <c:v>12.1</c:v>
                </c:pt>
                <c:pt idx="20">
                  <c:v>12.4</c:v>
                </c:pt>
                <c:pt idx="21">
                  <c:v>12.5</c:v>
                </c:pt>
                <c:pt idx="22">
                  <c:v>13.4</c:v>
                </c:pt>
                <c:pt idx="23">
                  <c:v>13.4</c:v>
                </c:pt>
                <c:pt idx="24">
                  <c:v>11.4</c:v>
                </c:pt>
                <c:pt idx="25">
                  <c:v>9.6999999999999993</c:v>
                </c:pt>
                <c:pt idx="26">
                  <c:v>8.1999999999999993</c:v>
                </c:pt>
                <c:pt idx="27">
                  <c:v>6.6</c:v>
                </c:pt>
                <c:pt idx="28">
                  <c:v>5.8</c:v>
                </c:pt>
                <c:pt idx="29">
                  <c:v>5.2</c:v>
                </c:pt>
                <c:pt idx="30">
                  <c:v>6.3</c:v>
                </c:pt>
                <c:pt idx="31">
                  <c:v>5.8</c:v>
                </c:pt>
                <c:pt idx="32">
                  <c:v>5.2</c:v>
                </c:pt>
                <c:pt idx="33" formatCode="0.0">
                  <c:v>5.0999999999999996</c:v>
                </c:pt>
                <c:pt idx="34">
                  <c:v>5.0999999999999996</c:v>
                </c:pt>
                <c:pt idx="35">
                  <c:v>5.7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437C-4BED-BCF6-5371AF49DA7D}"/>
            </c:ext>
          </c:extLst>
        </c:ser>
        <c:ser>
          <c:idx val="1"/>
          <c:order val="1"/>
          <c:tx>
            <c:strRef>
              <c:f>'1998-2024'!$D$2</c:f>
              <c:strCache>
                <c:ptCount val="1"/>
                <c:pt idx="0">
                  <c:v>PODKARPACKIE</c:v>
                </c:pt>
              </c:strCache>
            </c:strRef>
          </c:tx>
          <c:spPr>
            <a:ln w="69850" cmpd="dbl">
              <a:solidFill>
                <a:schemeClr val="bg1">
                  <a:lumMod val="85000"/>
                  <a:alpha val="91000"/>
                </a:schemeClr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-1.5419832597096235E-2"/>
                  <c:y val="-7.146823803275731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37C-4BED-BCF6-5371AF49DA7D}"/>
                </c:ext>
              </c:extLst>
            </c:dLbl>
            <c:dLbl>
              <c:idx val="19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>
                      <a:solidFill>
                        <a:schemeClr val="bg2">
                          <a:lumMod val="75000"/>
                        </a:schemeClr>
                      </a:solidFill>
                    </a:defRPr>
                  </a:pPr>
                  <a:endParaRPr lang="pl-PL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3.3388860730854418E-2"/>
                      <c:h val="0.1265728514152817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4-437C-4BED-BCF6-5371AF49DA7D}"/>
                </c:ext>
              </c:extLst>
            </c:dLbl>
            <c:dLbl>
              <c:idx val="21"/>
              <c:layout>
                <c:manualLayout>
                  <c:x val="0"/>
                  <c:y val="0.187520100105836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37C-4BED-BCF6-5371AF49DA7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2">
                        <a:lumMod val="75000"/>
                      </a:schemeClr>
                    </a:solidFill>
                  </a:defRPr>
                </a:pPr>
                <a:endParaRPr lang="pl-PL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'1998-2024'!$B$3:$B$38</c:f>
              <c:strCache>
                <c:ptCount val="36"/>
                <c:pt idx="0">
                  <c:v>31XII90</c:v>
                </c:pt>
                <c:pt idx="1">
                  <c:v>31XII91</c:v>
                </c:pt>
                <c:pt idx="2">
                  <c:v>31XII92</c:v>
                </c:pt>
                <c:pt idx="3">
                  <c:v>31XII93</c:v>
                </c:pt>
                <c:pt idx="4">
                  <c:v>31XII94</c:v>
                </c:pt>
                <c:pt idx="5">
                  <c:v>31XII95</c:v>
                </c:pt>
                <c:pt idx="6">
                  <c:v>31XII96</c:v>
                </c:pt>
                <c:pt idx="7">
                  <c:v>31XII97</c:v>
                </c:pt>
                <c:pt idx="8">
                  <c:v>31XII98</c:v>
                </c:pt>
                <c:pt idx="9">
                  <c:v>31XII99</c:v>
                </c:pt>
                <c:pt idx="10">
                  <c:v>31XII00</c:v>
                </c:pt>
                <c:pt idx="11">
                  <c:v>31XII01</c:v>
                </c:pt>
                <c:pt idx="12">
                  <c:v>31XII02</c:v>
                </c:pt>
                <c:pt idx="13">
                  <c:v>31XII03</c:v>
                </c:pt>
                <c:pt idx="14">
                  <c:v>31XII04</c:v>
                </c:pt>
                <c:pt idx="15">
                  <c:v>31XII05</c:v>
                </c:pt>
                <c:pt idx="16">
                  <c:v>31XII06</c:v>
                </c:pt>
                <c:pt idx="17">
                  <c:v>31XII07</c:v>
                </c:pt>
                <c:pt idx="18">
                  <c:v>31XII08</c:v>
                </c:pt>
                <c:pt idx="19">
                  <c:v>31XII09</c:v>
                </c:pt>
                <c:pt idx="20">
                  <c:v>31XII10</c:v>
                </c:pt>
                <c:pt idx="21">
                  <c:v>31XII11</c:v>
                </c:pt>
                <c:pt idx="22">
                  <c:v>31XII12</c:v>
                </c:pt>
                <c:pt idx="23">
                  <c:v>31XII13</c:v>
                </c:pt>
                <c:pt idx="24">
                  <c:v>31XII14</c:v>
                </c:pt>
                <c:pt idx="25">
                  <c:v>31XII15</c:v>
                </c:pt>
                <c:pt idx="26">
                  <c:v>31XII16</c:v>
                </c:pt>
                <c:pt idx="27">
                  <c:v>31XII17</c:v>
                </c:pt>
                <c:pt idx="28">
                  <c:v>31XII18</c:v>
                </c:pt>
                <c:pt idx="29">
                  <c:v>31XII19</c:v>
                </c:pt>
                <c:pt idx="30">
                  <c:v>31XII20</c:v>
                </c:pt>
                <c:pt idx="31">
                  <c:v>31XII21</c:v>
                </c:pt>
                <c:pt idx="32">
                  <c:v>31XII22</c:v>
                </c:pt>
                <c:pt idx="33">
                  <c:v>31XII23</c:v>
                </c:pt>
                <c:pt idx="34">
                  <c:v>31XII24</c:v>
                </c:pt>
                <c:pt idx="35">
                  <c:v>31XII25</c:v>
                </c:pt>
              </c:strCache>
            </c:strRef>
          </c:cat>
          <c:val>
            <c:numRef>
              <c:f>'1998-2024'!$D$3:$D$38</c:f>
              <c:numCache>
                <c:formatCode>General</c:formatCode>
                <c:ptCount val="36"/>
                <c:pt idx="8">
                  <c:v>12.4</c:v>
                </c:pt>
                <c:pt idx="9">
                  <c:v>14.5</c:v>
                </c:pt>
                <c:pt idx="10">
                  <c:v>15.9</c:v>
                </c:pt>
                <c:pt idx="11">
                  <c:v>17.3</c:v>
                </c:pt>
                <c:pt idx="12">
                  <c:v>16.899999999999999</c:v>
                </c:pt>
                <c:pt idx="13">
                  <c:v>16.7</c:v>
                </c:pt>
                <c:pt idx="14">
                  <c:v>19.100000000000001</c:v>
                </c:pt>
                <c:pt idx="15">
                  <c:v>18.399999999999999</c:v>
                </c:pt>
                <c:pt idx="16">
                  <c:v>16.399999999999999</c:v>
                </c:pt>
                <c:pt idx="17">
                  <c:v>14.2</c:v>
                </c:pt>
                <c:pt idx="18" formatCode="0.0">
                  <c:v>13</c:v>
                </c:pt>
                <c:pt idx="19">
                  <c:v>15.9</c:v>
                </c:pt>
                <c:pt idx="20">
                  <c:v>15.4</c:v>
                </c:pt>
                <c:pt idx="21">
                  <c:v>15.5</c:v>
                </c:pt>
                <c:pt idx="22">
                  <c:v>16.399999999999999</c:v>
                </c:pt>
                <c:pt idx="23">
                  <c:v>16.3</c:v>
                </c:pt>
                <c:pt idx="24">
                  <c:v>14.6</c:v>
                </c:pt>
                <c:pt idx="25">
                  <c:v>13.2</c:v>
                </c:pt>
                <c:pt idx="26">
                  <c:v>11.5</c:v>
                </c:pt>
                <c:pt idx="27">
                  <c:v>9.6</c:v>
                </c:pt>
                <c:pt idx="28">
                  <c:v>8.6999999999999993</c:v>
                </c:pt>
                <c:pt idx="29">
                  <c:v>7.9</c:v>
                </c:pt>
                <c:pt idx="30">
                  <c:v>9.1</c:v>
                </c:pt>
                <c:pt idx="31">
                  <c:v>9.9</c:v>
                </c:pt>
                <c:pt idx="32">
                  <c:v>8.8000000000000007</c:v>
                </c:pt>
                <c:pt idx="33">
                  <c:v>8.6</c:v>
                </c:pt>
                <c:pt idx="34">
                  <c:v>8.6999999999999993</c:v>
                </c:pt>
                <c:pt idx="35">
                  <c:v>9.3000000000000007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437C-4BED-BCF6-5371AF49DA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7368320"/>
        <c:axId val="227398784"/>
      </c:lineChart>
      <c:catAx>
        <c:axId val="227368320"/>
        <c:scaling>
          <c:orientation val="minMax"/>
        </c:scaling>
        <c:delete val="0"/>
        <c:axPos val="b"/>
        <c:majorGridlines>
          <c:spPr>
            <a:ln w="22225">
              <a:solidFill>
                <a:schemeClr val="accent1">
                  <a:lumMod val="40000"/>
                  <a:lumOff val="60000"/>
                  <a:alpha val="76000"/>
                </a:schemeClr>
              </a:solidFill>
              <a:prstDash val="sysDot"/>
            </a:ln>
          </c:spPr>
        </c:majorGridlines>
        <c:numFmt formatCode="General" sourceLinked="1"/>
        <c:majorTickMark val="none"/>
        <c:minorTickMark val="none"/>
        <c:tickLblPos val="nextTo"/>
        <c:spPr>
          <a:ln w="19050">
            <a:solidFill>
              <a:schemeClr val="accent4">
                <a:lumMod val="20000"/>
                <a:lumOff val="80000"/>
                <a:alpha val="68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1">
                <a:solidFill>
                  <a:schemeClr val="bg2">
                    <a:lumMod val="75000"/>
                  </a:schemeClr>
                </a:solidFill>
              </a:defRPr>
            </a:pPr>
            <a:endParaRPr lang="pl-PL"/>
          </a:p>
        </c:txPr>
        <c:crossAx val="227398784"/>
        <c:crosses val="autoZero"/>
        <c:auto val="1"/>
        <c:lblAlgn val="ctr"/>
        <c:lblOffset val="100"/>
        <c:noMultiLvlLbl val="0"/>
      </c:catAx>
      <c:valAx>
        <c:axId val="227398784"/>
        <c:scaling>
          <c:orientation val="minMax"/>
        </c:scaling>
        <c:delete val="0"/>
        <c:axPos val="l"/>
        <c:majorGridlines>
          <c:spPr>
            <a:ln w="3175">
              <a:solidFill>
                <a:srgbClr val="D2D9FE">
                  <a:alpha val="0"/>
                </a:srgbClr>
              </a:solidFill>
            </a:ln>
          </c:spPr>
        </c:majorGridlines>
        <c:minorGridlines>
          <c:spPr>
            <a:ln w="3175">
              <a:solidFill>
                <a:schemeClr val="bg2">
                  <a:lumMod val="75000"/>
                  <a:alpha val="91000"/>
                </a:schemeClr>
              </a:solidFill>
              <a:prstDash val="sysDot"/>
            </a:ln>
          </c:spPr>
        </c:minorGridlines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accent4">
                <a:lumMod val="60000"/>
                <a:lumOff val="40000"/>
              </a:schemeClr>
            </a:solidFill>
          </a:ln>
        </c:spPr>
        <c:txPr>
          <a:bodyPr/>
          <a:lstStyle/>
          <a:p>
            <a:pPr>
              <a:defRPr sz="1100">
                <a:solidFill>
                  <a:schemeClr val="bg2">
                    <a:lumMod val="75000"/>
                  </a:schemeClr>
                </a:solidFill>
              </a:defRPr>
            </a:pPr>
            <a:endParaRPr lang="pl-PL"/>
          </a:p>
        </c:txPr>
        <c:crossAx val="227368320"/>
        <c:crosses val="autoZero"/>
        <c:crossBetween val="midCat"/>
        <c:majorUnit val="2"/>
        <c:minorUnit val="0.5"/>
      </c:valAx>
      <c:spPr>
        <a:noFill/>
      </c:spPr>
    </c:plotArea>
    <c:legend>
      <c:legendPos val="t"/>
      <c:layout>
        <c:manualLayout>
          <c:xMode val="edge"/>
          <c:yMode val="edge"/>
          <c:x val="0.1702332305721343"/>
          <c:y val="0.67314644709710492"/>
          <c:w val="0.41439447850536937"/>
          <c:h val="9.1990504863362674E-2"/>
        </c:manualLayout>
      </c:layout>
      <c:overlay val="0"/>
      <c:txPr>
        <a:bodyPr/>
        <a:lstStyle/>
        <a:p>
          <a:pPr>
            <a:defRPr sz="1100">
              <a:solidFill>
                <a:schemeClr val="bg2">
                  <a:lumMod val="75000"/>
                </a:schemeClr>
              </a:solidFill>
            </a:defRPr>
          </a:pPr>
          <a:endParaRPr lang="pl-PL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solidFill>
                  <a:schemeClr val="bg2">
                    <a:lumMod val="75000"/>
                  </a:schemeClr>
                </a:solidFill>
              </a:defRPr>
            </a:pPr>
            <a:r>
              <a:rPr lang="pl-PL" sz="1600" dirty="0">
                <a:solidFill>
                  <a:schemeClr val="bg2">
                    <a:lumMod val="75000"/>
                  </a:schemeClr>
                </a:solidFill>
              </a:rPr>
              <a:t>Bezrobotni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5.0251650108747638E-2"/>
          <c:y val="5.9933878874569503E-2"/>
          <c:w val="0.9291405220773763"/>
          <c:h val="0.83492454705538199"/>
        </c:manualLayout>
      </c:layout>
      <c:lineChart>
        <c:grouping val="standard"/>
        <c:varyColors val="0"/>
        <c:ser>
          <c:idx val="0"/>
          <c:order val="0"/>
          <c:tx>
            <c:strRef>
              <c:f>'1998-2024'!$E$2</c:f>
              <c:strCache>
                <c:ptCount val="1"/>
                <c:pt idx="0">
                  <c:v>bezrobotni ogółem</c:v>
                </c:pt>
              </c:strCache>
            </c:strRef>
          </c:tx>
          <c:spPr>
            <a:ln w="50800">
              <a:solidFill>
                <a:schemeClr val="bg2">
                  <a:lumMod val="75000"/>
                </a:schemeClr>
              </a:solidFill>
              <a:prstDash val="sysDot"/>
            </a:ln>
          </c:spPr>
          <c:marker>
            <c:symbol val="none"/>
          </c:marker>
          <c:dLbls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-5400000" vert="horz" wrap="square" lIns="38100" tIns="19050" rIns="38100" bIns="19050" anchor="ctr">
                  <a:spAutoFit/>
                </a:bodyPr>
                <a:lstStyle/>
                <a:p>
                  <a:pPr>
                    <a:defRPr sz="800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89D4-476D-901A-B30B52F0ACBC}"/>
                </c:ext>
              </c:extLst>
            </c:dLbl>
            <c:dLbl>
              <c:idx val="9"/>
              <c:spPr>
                <a:noFill/>
                <a:ln>
                  <a:noFill/>
                </a:ln>
                <a:effectLst/>
              </c:spPr>
              <c:txPr>
                <a:bodyPr rot="-5400000" vert="horz" wrap="square" lIns="38100" tIns="19050" rIns="38100" bIns="19050" anchor="ctr">
                  <a:spAutoFit/>
                </a:bodyPr>
                <a:lstStyle/>
                <a:p>
                  <a:pPr>
                    <a:defRPr sz="800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89D4-476D-901A-B30B52F0ACBC}"/>
                </c:ext>
              </c:extLst>
            </c:dLbl>
            <c:dLbl>
              <c:idx val="14"/>
              <c:spPr>
                <a:noFill/>
                <a:ln>
                  <a:noFill/>
                </a:ln>
                <a:effectLst/>
              </c:spPr>
              <c:txPr>
                <a:bodyPr rot="-5400000" vert="horz" wrap="square" lIns="38100" tIns="19050" rIns="38100" bIns="19050" anchor="ctr">
                  <a:spAutoFit/>
                </a:bodyPr>
                <a:lstStyle/>
                <a:p>
                  <a:pPr>
                    <a:defRPr sz="800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89D4-476D-901A-B30B52F0ACBC}"/>
                </c:ext>
              </c:extLst>
            </c:dLbl>
            <c:dLbl>
              <c:idx val="20"/>
              <c:spPr>
                <a:noFill/>
                <a:ln>
                  <a:noFill/>
                </a:ln>
                <a:effectLst/>
              </c:spPr>
              <c:txPr>
                <a:bodyPr rot="-5400000" vert="horz" wrap="square" lIns="38100" tIns="19050" rIns="38100" bIns="19050" anchor="ctr">
                  <a:spAutoFit/>
                </a:bodyPr>
                <a:lstStyle/>
                <a:p>
                  <a:pPr>
                    <a:defRPr sz="800">
                      <a:solidFill>
                        <a:srgbClr val="FF0000"/>
                      </a:solidFill>
                    </a:defRPr>
                  </a:pPr>
                  <a:endParaRPr lang="pl-PL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89D4-476D-901A-B30B52F0ACB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pl-PL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'1998-2024'!$B$11:$B$38</c:f>
              <c:strCache>
                <c:ptCount val="28"/>
                <c:pt idx="0">
                  <c:v>31XII98</c:v>
                </c:pt>
                <c:pt idx="1">
                  <c:v>31XII99</c:v>
                </c:pt>
                <c:pt idx="2">
                  <c:v>31XII00</c:v>
                </c:pt>
                <c:pt idx="3">
                  <c:v>31XII01</c:v>
                </c:pt>
                <c:pt idx="4">
                  <c:v>31XII02</c:v>
                </c:pt>
                <c:pt idx="5">
                  <c:v>31XII03</c:v>
                </c:pt>
                <c:pt idx="6">
                  <c:v>31XII04</c:v>
                </c:pt>
                <c:pt idx="7">
                  <c:v>31XII05</c:v>
                </c:pt>
                <c:pt idx="8">
                  <c:v>31XII06</c:v>
                </c:pt>
                <c:pt idx="9">
                  <c:v>31XII07</c:v>
                </c:pt>
                <c:pt idx="10">
                  <c:v>31XII08</c:v>
                </c:pt>
                <c:pt idx="11">
                  <c:v>31XII09</c:v>
                </c:pt>
                <c:pt idx="12">
                  <c:v>31XII10</c:v>
                </c:pt>
                <c:pt idx="13">
                  <c:v>31XII11</c:v>
                </c:pt>
                <c:pt idx="14">
                  <c:v>31XII12</c:v>
                </c:pt>
                <c:pt idx="15">
                  <c:v>31XII13</c:v>
                </c:pt>
                <c:pt idx="16">
                  <c:v>31XII14</c:v>
                </c:pt>
                <c:pt idx="17">
                  <c:v>31XII15</c:v>
                </c:pt>
                <c:pt idx="18">
                  <c:v>31XII16</c:v>
                </c:pt>
                <c:pt idx="19">
                  <c:v>31XII17</c:v>
                </c:pt>
                <c:pt idx="20">
                  <c:v>31XII18</c:v>
                </c:pt>
                <c:pt idx="21">
                  <c:v>31XII19</c:v>
                </c:pt>
                <c:pt idx="22">
                  <c:v>31XII20</c:v>
                </c:pt>
                <c:pt idx="23">
                  <c:v>31XII21</c:v>
                </c:pt>
                <c:pt idx="24">
                  <c:v>31XII22</c:v>
                </c:pt>
                <c:pt idx="25">
                  <c:v>31XII23</c:v>
                </c:pt>
                <c:pt idx="26">
                  <c:v>31XII24</c:v>
                </c:pt>
                <c:pt idx="27">
                  <c:v>31XII25</c:v>
                </c:pt>
              </c:strCache>
            </c:strRef>
          </c:cat>
          <c:val>
            <c:numRef>
              <c:f>'1998-2024'!$E$11:$E$38</c:f>
              <c:numCache>
                <c:formatCode>#,##0</c:formatCode>
                <c:ptCount val="28"/>
                <c:pt idx="0">
                  <c:v>137367</c:v>
                </c:pt>
                <c:pt idx="1">
                  <c:v>164692</c:v>
                </c:pt>
                <c:pt idx="2">
                  <c:v>182168</c:v>
                </c:pt>
                <c:pt idx="3">
                  <c:v>195173</c:v>
                </c:pt>
                <c:pt idx="4">
                  <c:v>187519</c:v>
                </c:pt>
                <c:pt idx="5">
                  <c:v>182497</c:v>
                </c:pt>
                <c:pt idx="6">
                  <c:v>170293</c:v>
                </c:pt>
                <c:pt idx="7">
                  <c:v>163956</c:v>
                </c:pt>
                <c:pt idx="8">
                  <c:v>145246</c:v>
                </c:pt>
                <c:pt idx="9">
                  <c:v>126360</c:v>
                </c:pt>
                <c:pt idx="10">
                  <c:v>115567</c:v>
                </c:pt>
                <c:pt idx="11">
                  <c:v>141944</c:v>
                </c:pt>
                <c:pt idx="12">
                  <c:v>142263</c:v>
                </c:pt>
                <c:pt idx="13">
                  <c:v>146208</c:v>
                </c:pt>
                <c:pt idx="14">
                  <c:v>153807</c:v>
                </c:pt>
                <c:pt idx="15">
                  <c:v>154216</c:v>
                </c:pt>
                <c:pt idx="16">
                  <c:v>137932</c:v>
                </c:pt>
                <c:pt idx="17">
                  <c:v>123514</c:v>
                </c:pt>
                <c:pt idx="18">
                  <c:v>107567</c:v>
                </c:pt>
                <c:pt idx="19">
                  <c:v>90972</c:v>
                </c:pt>
                <c:pt idx="20">
                  <c:v>82933</c:v>
                </c:pt>
                <c:pt idx="21">
                  <c:v>75455</c:v>
                </c:pt>
                <c:pt idx="22">
                  <c:v>87326</c:v>
                </c:pt>
                <c:pt idx="23">
                  <c:v>77291</c:v>
                </c:pt>
                <c:pt idx="24">
                  <c:v>69046</c:v>
                </c:pt>
                <c:pt idx="25">
                  <c:v>67653</c:v>
                </c:pt>
                <c:pt idx="26">
                  <c:v>67336</c:v>
                </c:pt>
                <c:pt idx="27">
                  <c:v>72059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89D4-476D-901A-B30B52F0AC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27368320"/>
        <c:axId val="227398784"/>
      </c:lineChart>
      <c:catAx>
        <c:axId val="227368320"/>
        <c:scaling>
          <c:orientation val="minMax"/>
        </c:scaling>
        <c:delete val="0"/>
        <c:axPos val="b"/>
        <c:majorGridlines>
          <c:spPr>
            <a:ln w="22225">
              <a:solidFill>
                <a:schemeClr val="tx2">
                  <a:lumMod val="20000"/>
                  <a:lumOff val="80000"/>
                  <a:alpha val="76000"/>
                </a:schemeClr>
              </a:solidFill>
              <a:prstDash val="sysDot"/>
            </a:ln>
          </c:spPr>
        </c:majorGridlines>
        <c:numFmt formatCode="General" sourceLinked="1"/>
        <c:majorTickMark val="none"/>
        <c:minorTickMark val="none"/>
        <c:tickLblPos val="nextTo"/>
        <c:spPr>
          <a:ln w="19050">
            <a:solidFill>
              <a:schemeClr val="tx1">
                <a:alpha val="68000"/>
              </a:schemeClr>
            </a:solidFill>
            <a:prstDash val="solid"/>
          </a:ln>
        </c:spPr>
        <c:txPr>
          <a:bodyPr/>
          <a:lstStyle/>
          <a:p>
            <a:pPr>
              <a:defRPr sz="700">
                <a:solidFill>
                  <a:schemeClr val="bg2">
                    <a:lumMod val="75000"/>
                  </a:schemeClr>
                </a:solidFill>
              </a:defRPr>
            </a:pPr>
            <a:endParaRPr lang="pl-PL"/>
          </a:p>
        </c:txPr>
        <c:crossAx val="227398784"/>
        <c:crosses val="autoZero"/>
        <c:auto val="1"/>
        <c:lblAlgn val="ctr"/>
        <c:lblOffset val="100"/>
        <c:noMultiLvlLbl val="0"/>
      </c:catAx>
      <c:valAx>
        <c:axId val="227398784"/>
        <c:scaling>
          <c:orientation val="minMax"/>
          <c:min val="30"/>
        </c:scaling>
        <c:delete val="0"/>
        <c:axPos val="l"/>
        <c:majorGridlines>
          <c:spPr>
            <a:ln w="3175">
              <a:solidFill>
                <a:srgbClr val="D2D9FE">
                  <a:alpha val="0"/>
                </a:srgbClr>
              </a:solidFill>
            </a:ln>
          </c:spPr>
        </c:majorGridlines>
        <c:minorGridlines>
          <c:spPr>
            <a:ln w="3175">
              <a:solidFill>
                <a:schemeClr val="bg2">
                  <a:lumMod val="75000"/>
                  <a:alpha val="95000"/>
                </a:schemeClr>
              </a:solidFill>
              <a:prstDash val="sysDot"/>
            </a:ln>
          </c:spPr>
        </c:minorGridlines>
        <c:numFmt formatCode="#,##0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</c:spPr>
        <c:txPr>
          <a:bodyPr/>
          <a:lstStyle/>
          <a:p>
            <a:pPr>
              <a:defRPr>
                <a:solidFill>
                  <a:schemeClr val="bg2">
                    <a:lumMod val="75000"/>
                  </a:schemeClr>
                </a:solidFill>
              </a:defRPr>
            </a:pPr>
            <a:endParaRPr lang="pl-PL"/>
          </a:p>
        </c:txPr>
        <c:crossAx val="227368320"/>
        <c:crosses val="autoZero"/>
        <c:crossBetween val="midCat"/>
      </c:valAx>
      <c:spPr>
        <a:noFill/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>
          <a:solidFill>
            <a:schemeClr val="bg2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6" Type="http://schemas.openxmlformats.org/officeDocument/2006/relationships/chart" Target="../charts/chart7.xml"/><Relationship Id="rId5" Type="http://schemas.openxmlformats.org/officeDocument/2006/relationships/chart" Target="../charts/chart6.xml"/><Relationship Id="rId4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361949</xdr:colOff>
      <xdr:row>1</xdr:row>
      <xdr:rowOff>76200</xdr:rowOff>
    </xdr:from>
    <xdr:to>
      <xdr:col>3</xdr:col>
      <xdr:colOff>590550</xdr:colOff>
      <xdr:row>1</xdr:row>
      <xdr:rowOff>209550</xdr:rowOff>
    </xdr:to>
    <xdr:sp macro="" textlink="">
      <xdr:nvSpPr>
        <xdr:cNvPr id="2" name="Schemat blokowy: scalani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2581274" y="314325"/>
          <a:ext cx="228601" cy="133350"/>
        </a:xfrm>
        <a:prstGeom prst="flowChartMerge">
          <a:avLst/>
        </a:prstGeom>
        <a:solidFill>
          <a:srgbClr val="C00000"/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8</xdr:col>
      <xdr:colOff>116413</xdr:colOff>
      <xdr:row>1</xdr:row>
      <xdr:rowOff>167745</xdr:rowOff>
    </xdr:from>
    <xdr:to>
      <xdr:col>19</xdr:col>
      <xdr:colOff>142873</xdr:colOff>
      <xdr:row>20</xdr:row>
      <xdr:rowOff>35717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285749</xdr:colOff>
      <xdr:row>1</xdr:row>
      <xdr:rowOff>114301</xdr:rowOff>
    </xdr:from>
    <xdr:to>
      <xdr:col>24</xdr:col>
      <xdr:colOff>297656</xdr:colOff>
      <xdr:row>25</xdr:row>
      <xdr:rowOff>0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9B209EA3-F62B-4E29-9ECB-0183A87C52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14283</xdr:colOff>
      <xdr:row>24</xdr:row>
      <xdr:rowOff>83343</xdr:rowOff>
    </xdr:from>
    <xdr:to>
      <xdr:col>24</xdr:col>
      <xdr:colOff>476249</xdr:colOff>
      <xdr:row>44</xdr:row>
      <xdr:rowOff>107156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F1808FA8-E14D-4F8D-BC44-2DED5EA98D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24</xdr:col>
      <xdr:colOff>273844</xdr:colOff>
      <xdr:row>1</xdr:row>
      <xdr:rowOff>142874</xdr:rowOff>
    </xdr:from>
    <xdr:to>
      <xdr:col>34</xdr:col>
      <xdr:colOff>500062</xdr:colOff>
      <xdr:row>24</xdr:row>
      <xdr:rowOff>142875</xdr:rowOff>
    </xdr:to>
    <xdr:graphicFrame macro="">
      <xdr:nvGraphicFramePr>
        <xdr:cNvPr id="4" name="Wykres 3">
          <a:extLst>
            <a:ext uri="{FF2B5EF4-FFF2-40B4-BE49-F238E27FC236}">
              <a16:creationId xmlns:a16="http://schemas.microsoft.com/office/drawing/2014/main" id="{3225B3A4-6484-4804-80C1-408309CF66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24</xdr:col>
      <xdr:colOff>266700</xdr:colOff>
      <xdr:row>25</xdr:row>
      <xdr:rowOff>85725</xdr:rowOff>
    </xdr:from>
    <xdr:to>
      <xdr:col>34</xdr:col>
      <xdr:colOff>352424</xdr:colOff>
      <xdr:row>45</xdr:row>
      <xdr:rowOff>107155</xdr:rowOff>
    </xdr:to>
    <xdr:graphicFrame macro="">
      <xdr:nvGraphicFramePr>
        <xdr:cNvPr id="5" name="Wykres 4">
          <a:extLst>
            <a:ext uri="{FF2B5EF4-FFF2-40B4-BE49-F238E27FC236}">
              <a16:creationId xmlns:a16="http://schemas.microsoft.com/office/drawing/2014/main" id="{C9EE7761-6259-45B3-84E5-8F150ACA60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13</xdr:col>
      <xdr:colOff>214312</xdr:colOff>
      <xdr:row>46</xdr:row>
      <xdr:rowOff>11906</xdr:rowOff>
    </xdr:from>
    <xdr:to>
      <xdr:col>30</xdr:col>
      <xdr:colOff>309563</xdr:colOff>
      <xdr:row>70</xdr:row>
      <xdr:rowOff>41573</xdr:rowOff>
    </xdr:to>
    <xdr:graphicFrame macro="">
      <xdr:nvGraphicFramePr>
        <xdr:cNvPr id="6" name="Wykres 5">
          <a:extLst>
            <a:ext uri="{FF2B5EF4-FFF2-40B4-BE49-F238E27FC236}">
              <a16:creationId xmlns:a16="http://schemas.microsoft.com/office/drawing/2014/main" id="{9370B213-D0EA-44E7-B673-A35B7C7663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107156</xdr:colOff>
      <xdr:row>40</xdr:row>
      <xdr:rowOff>0</xdr:rowOff>
    </xdr:from>
    <xdr:to>
      <xdr:col>13</xdr:col>
      <xdr:colOff>285750</xdr:colOff>
      <xdr:row>52</xdr:row>
      <xdr:rowOff>14833</xdr:rowOff>
    </xdr:to>
    <xdr:graphicFrame macro="">
      <xdr:nvGraphicFramePr>
        <xdr:cNvPr id="7" name="Wykres 6">
          <a:extLst>
            <a:ext uri="{FF2B5EF4-FFF2-40B4-BE49-F238E27FC236}">
              <a16:creationId xmlns:a16="http://schemas.microsoft.com/office/drawing/2014/main" id="{1645545C-9D49-4D8E-BF86-59D3779EC1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 tint="0.79998168889431442"/>
    <pageSetUpPr fitToPage="1"/>
  </sheetPr>
  <dimension ref="A1:I43"/>
  <sheetViews>
    <sheetView tabSelected="1" zoomScale="80" zoomScaleNormal="80" workbookViewId="0">
      <selection activeCell="B1" sqref="B1"/>
    </sheetView>
  </sheetViews>
  <sheetFormatPr defaultRowHeight="14.25" x14ac:dyDescent="0.2"/>
  <cols>
    <col min="1" max="1" width="4.42578125" style="9" customWidth="1"/>
    <col min="2" max="2" width="33.42578125" style="2" customWidth="1"/>
    <col min="3" max="3" width="20.140625" style="2" customWidth="1"/>
    <col min="4" max="4" width="19.7109375" style="2" customWidth="1"/>
    <col min="5" max="5" width="15.28515625" style="2" customWidth="1"/>
    <col min="6" max="6" width="20.28515625" style="2" customWidth="1"/>
    <col min="7" max="7" width="14.7109375" style="2" customWidth="1"/>
    <col min="8" max="8" width="3.42578125" style="9" customWidth="1"/>
    <col min="9" max="9" width="19.5703125" style="2" customWidth="1"/>
    <col min="10" max="16384" width="9.140625" style="2"/>
  </cols>
  <sheetData>
    <row r="1" spans="1:9" ht="15" customHeight="1" x14ac:dyDescent="0.2">
      <c r="B1" s="1" t="s">
        <v>20</v>
      </c>
    </row>
    <row r="2" spans="1:9" ht="71.25" customHeight="1" x14ac:dyDescent="0.2">
      <c r="B2" s="20" t="s">
        <v>0</v>
      </c>
      <c r="C2" s="20" t="s">
        <v>109</v>
      </c>
      <c r="D2" s="21" t="s">
        <v>106</v>
      </c>
      <c r="E2" s="20" t="s">
        <v>18</v>
      </c>
      <c r="F2" s="21" t="s">
        <v>110</v>
      </c>
      <c r="G2" s="20" t="s">
        <v>21</v>
      </c>
    </row>
    <row r="3" spans="1:9" ht="15" customHeight="1" x14ac:dyDescent="0.2">
      <c r="A3" s="9">
        <v>1</v>
      </c>
      <c r="B3" s="10" t="s">
        <v>1</v>
      </c>
      <c r="C3" s="35">
        <v>6</v>
      </c>
      <c r="D3" s="23">
        <v>5.7</v>
      </c>
      <c r="E3" s="11">
        <f>C3-D3</f>
        <v>0.29999999999999982</v>
      </c>
      <c r="F3" s="23">
        <v>5.4</v>
      </c>
      <c r="G3" s="11">
        <f>C3-F3</f>
        <v>0.59999999999999964</v>
      </c>
      <c r="H3" s="12"/>
      <c r="I3" s="9"/>
    </row>
    <row r="4" spans="1:9" ht="14.25" customHeight="1" x14ac:dyDescent="0.2">
      <c r="A4" s="9">
        <v>2</v>
      </c>
      <c r="B4" s="13" t="s">
        <v>2</v>
      </c>
      <c r="C4" s="33">
        <v>5.6</v>
      </c>
      <c r="D4" s="22">
        <v>5.3</v>
      </c>
      <c r="E4" s="14">
        <f t="shared" ref="E4:E19" si="0">C4-D4</f>
        <v>0.29999999999999982</v>
      </c>
      <c r="F4" s="22">
        <v>5</v>
      </c>
      <c r="G4" s="14">
        <f t="shared" ref="G4:G19" si="1">C4-F4</f>
        <v>0.59999999999999964</v>
      </c>
      <c r="H4" s="12"/>
      <c r="I4" s="9"/>
    </row>
    <row r="5" spans="1:9" x14ac:dyDescent="0.2">
      <c r="A5" s="9">
        <v>3</v>
      </c>
      <c r="B5" s="13" t="s">
        <v>3</v>
      </c>
      <c r="C5" s="14">
        <v>8.1999999999999993</v>
      </c>
      <c r="D5" s="22">
        <v>7.8</v>
      </c>
      <c r="E5" s="15">
        <f t="shared" si="0"/>
        <v>0.39999999999999947</v>
      </c>
      <c r="F5" s="22">
        <v>7.8</v>
      </c>
      <c r="G5" s="14">
        <f t="shared" si="1"/>
        <v>0.39999999999999947</v>
      </c>
      <c r="H5" s="12"/>
      <c r="I5" s="90"/>
    </row>
    <row r="6" spans="1:9" x14ac:dyDescent="0.2">
      <c r="A6" s="9">
        <v>4</v>
      </c>
      <c r="B6" s="13" t="s">
        <v>4</v>
      </c>
      <c r="C6" s="15">
        <v>8.5</v>
      </c>
      <c r="D6" s="22">
        <v>8.1</v>
      </c>
      <c r="E6" s="14">
        <f t="shared" si="0"/>
        <v>0.40000000000000036</v>
      </c>
      <c r="F6" s="22">
        <v>7.8</v>
      </c>
      <c r="G6" s="14">
        <f t="shared" si="1"/>
        <v>0.70000000000000018</v>
      </c>
      <c r="H6" s="12"/>
      <c r="I6" s="91"/>
    </row>
    <row r="7" spans="1:9" x14ac:dyDescent="0.2">
      <c r="A7" s="9">
        <v>5</v>
      </c>
      <c r="B7" s="13" t="s">
        <v>5</v>
      </c>
      <c r="C7" s="14">
        <v>6.1</v>
      </c>
      <c r="D7" s="22">
        <v>5.7</v>
      </c>
      <c r="E7" s="14">
        <f>C7-D7</f>
        <v>0.39999999999999947</v>
      </c>
      <c r="F7" s="22">
        <v>4.9000000000000004</v>
      </c>
      <c r="G7" s="14">
        <f>C7-F7</f>
        <v>1.1999999999999993</v>
      </c>
      <c r="H7" s="12"/>
      <c r="I7" s="90"/>
    </row>
    <row r="8" spans="1:9" x14ac:dyDescent="0.2">
      <c r="A8" s="9">
        <v>6</v>
      </c>
      <c r="B8" s="13" t="s">
        <v>6</v>
      </c>
      <c r="C8" s="14">
        <v>6.6</v>
      </c>
      <c r="D8" s="22">
        <v>6.3</v>
      </c>
      <c r="E8" s="14">
        <f t="shared" si="0"/>
        <v>0.29999999999999982</v>
      </c>
      <c r="F8" s="22">
        <v>5.8</v>
      </c>
      <c r="G8" s="14">
        <f t="shared" si="1"/>
        <v>0.79999999999999982</v>
      </c>
      <c r="H8" s="12"/>
      <c r="I8" s="9"/>
    </row>
    <row r="9" spans="1:9" x14ac:dyDescent="0.2">
      <c r="A9" s="9">
        <v>7</v>
      </c>
      <c r="B9" s="13" t="s">
        <v>7</v>
      </c>
      <c r="C9" s="14">
        <v>5</v>
      </c>
      <c r="D9" s="22">
        <v>4.7</v>
      </c>
      <c r="E9" s="14">
        <f t="shared" si="0"/>
        <v>0.29999999999999982</v>
      </c>
      <c r="F9" s="22">
        <v>4.4000000000000004</v>
      </c>
      <c r="G9" s="14">
        <f t="shared" si="1"/>
        <v>0.59999999999999964</v>
      </c>
      <c r="H9" s="12"/>
      <c r="I9" s="9"/>
    </row>
    <row r="10" spans="1:9" x14ac:dyDescent="0.2">
      <c r="A10" s="9">
        <v>8</v>
      </c>
      <c r="B10" s="13" t="s">
        <v>8</v>
      </c>
      <c r="C10" s="14">
        <v>4.5</v>
      </c>
      <c r="D10" s="22">
        <v>4.3</v>
      </c>
      <c r="E10" s="14">
        <f t="shared" si="0"/>
        <v>0.20000000000000018</v>
      </c>
      <c r="F10" s="22">
        <v>4.2</v>
      </c>
      <c r="G10" s="14">
        <f t="shared" si="1"/>
        <v>0.29999999999999982</v>
      </c>
      <c r="H10" s="12"/>
      <c r="I10" s="12"/>
    </row>
    <row r="11" spans="1:9" x14ac:dyDescent="0.2">
      <c r="A11" s="9">
        <v>9</v>
      </c>
      <c r="B11" s="13" t="s">
        <v>9</v>
      </c>
      <c r="C11" s="14">
        <v>6.7</v>
      </c>
      <c r="D11" s="22">
        <v>6.4</v>
      </c>
      <c r="E11" s="14">
        <f t="shared" si="0"/>
        <v>0.29999999999999982</v>
      </c>
      <c r="F11" s="22">
        <v>6.3</v>
      </c>
      <c r="G11" s="14">
        <f t="shared" si="1"/>
        <v>0.40000000000000036</v>
      </c>
      <c r="H11" s="12"/>
      <c r="I11" s="9"/>
    </row>
    <row r="12" spans="1:9" ht="15" x14ac:dyDescent="0.2">
      <c r="A12" s="9">
        <v>10</v>
      </c>
      <c r="B12" s="10" t="s">
        <v>10</v>
      </c>
      <c r="C12" s="34">
        <v>9.6</v>
      </c>
      <c r="D12" s="23">
        <v>9.3000000000000007</v>
      </c>
      <c r="E12" s="11">
        <f>C12-D12</f>
        <v>0.29999999999999893</v>
      </c>
      <c r="F12" s="23">
        <v>9.1999999999999993</v>
      </c>
      <c r="G12" s="11">
        <f>C12-F12</f>
        <v>0.40000000000000036</v>
      </c>
      <c r="H12" s="12"/>
      <c r="I12" s="90"/>
    </row>
    <row r="13" spans="1:9" x14ac:dyDescent="0.2">
      <c r="A13" s="9">
        <v>11</v>
      </c>
      <c r="B13" s="13" t="s">
        <v>11</v>
      </c>
      <c r="C13" s="33">
        <v>7.8</v>
      </c>
      <c r="D13" s="22">
        <v>7.4</v>
      </c>
      <c r="E13" s="14">
        <f t="shared" si="0"/>
        <v>0.39999999999999947</v>
      </c>
      <c r="F13" s="22">
        <v>7.4</v>
      </c>
      <c r="G13" s="14">
        <f t="shared" si="1"/>
        <v>0.39999999999999947</v>
      </c>
      <c r="H13" s="12"/>
      <c r="I13" s="12"/>
    </row>
    <row r="14" spans="1:9" x14ac:dyDescent="0.2">
      <c r="A14" s="9">
        <v>12</v>
      </c>
      <c r="B14" s="13" t="s">
        <v>12</v>
      </c>
      <c r="C14" s="14">
        <v>5.6</v>
      </c>
      <c r="D14" s="22">
        <v>5.3</v>
      </c>
      <c r="E14" s="14">
        <f t="shared" si="0"/>
        <v>0.29999999999999982</v>
      </c>
      <c r="F14" s="22">
        <v>4.9000000000000004</v>
      </c>
      <c r="G14" s="14">
        <f t="shared" si="1"/>
        <v>0.69999999999999929</v>
      </c>
      <c r="H14" s="12"/>
      <c r="I14" s="9"/>
    </row>
    <row r="15" spans="1:9" x14ac:dyDescent="0.2">
      <c r="A15" s="9">
        <v>13</v>
      </c>
      <c r="B15" s="13" t="s">
        <v>13</v>
      </c>
      <c r="C15" s="14">
        <v>4.7</v>
      </c>
      <c r="D15" s="22">
        <v>4.4000000000000004</v>
      </c>
      <c r="E15" s="14">
        <f t="shared" si="0"/>
        <v>0.29999999999999982</v>
      </c>
      <c r="F15" s="22">
        <v>3.9</v>
      </c>
      <c r="G15" s="14">
        <f t="shared" si="1"/>
        <v>0.80000000000000027</v>
      </c>
      <c r="H15" s="12"/>
      <c r="I15" s="9"/>
    </row>
    <row r="16" spans="1:9" x14ac:dyDescent="0.2">
      <c r="A16" s="9">
        <v>14</v>
      </c>
      <c r="B16" s="13" t="s">
        <v>14</v>
      </c>
      <c r="C16" s="14">
        <v>8.8000000000000007</v>
      </c>
      <c r="D16" s="22">
        <v>8.4</v>
      </c>
      <c r="E16" s="14">
        <f t="shared" si="0"/>
        <v>0.40000000000000036</v>
      </c>
      <c r="F16" s="22">
        <v>8.1</v>
      </c>
      <c r="G16" s="14">
        <f t="shared" si="1"/>
        <v>0.70000000000000107</v>
      </c>
      <c r="H16" s="12"/>
      <c r="I16" s="9"/>
    </row>
    <row r="17" spans="1:9" x14ac:dyDescent="0.2">
      <c r="A17" s="9">
        <v>15</v>
      </c>
      <c r="B17" s="13" t="s">
        <v>15</v>
      </c>
      <c r="C17" s="14">
        <v>9.9</v>
      </c>
      <c r="D17" s="22">
        <v>9.3000000000000007</v>
      </c>
      <c r="E17" s="14">
        <f t="shared" si="0"/>
        <v>0.59999999999999964</v>
      </c>
      <c r="F17" s="22">
        <v>9.1</v>
      </c>
      <c r="G17" s="14">
        <f t="shared" si="1"/>
        <v>0.80000000000000071</v>
      </c>
      <c r="H17" s="12"/>
      <c r="I17" s="9"/>
    </row>
    <row r="18" spans="1:9" x14ac:dyDescent="0.2">
      <c r="A18" s="9">
        <v>16</v>
      </c>
      <c r="B18" s="13" t="s">
        <v>16</v>
      </c>
      <c r="C18" s="14">
        <v>3.8</v>
      </c>
      <c r="D18" s="22">
        <v>3.5</v>
      </c>
      <c r="E18" s="14">
        <f t="shared" si="0"/>
        <v>0.29999999999999982</v>
      </c>
      <c r="F18" s="22">
        <v>3.2</v>
      </c>
      <c r="G18" s="14">
        <f t="shared" si="1"/>
        <v>0.59999999999999964</v>
      </c>
      <c r="H18" s="12"/>
      <c r="I18" s="9"/>
    </row>
    <row r="19" spans="1:9" x14ac:dyDescent="0.2">
      <c r="A19" s="9">
        <v>17</v>
      </c>
      <c r="B19" s="13" t="s">
        <v>17</v>
      </c>
      <c r="C19" s="14">
        <v>8.1</v>
      </c>
      <c r="D19" s="22">
        <v>7.7</v>
      </c>
      <c r="E19" s="14">
        <f t="shared" si="0"/>
        <v>0.39999999999999947</v>
      </c>
      <c r="F19" s="22">
        <v>7.3</v>
      </c>
      <c r="G19" s="14">
        <f t="shared" si="1"/>
        <v>0.79999999999999982</v>
      </c>
      <c r="H19" s="12"/>
      <c r="I19" s="9"/>
    </row>
    <row r="20" spans="1:9" ht="12.75" customHeight="1" x14ac:dyDescent="0.2">
      <c r="B20" s="16" t="s">
        <v>111</v>
      </c>
    </row>
    <row r="21" spans="1:9" ht="13.5" customHeight="1" x14ac:dyDescent="0.2">
      <c r="B21" s="16" t="s">
        <v>108</v>
      </c>
    </row>
    <row r="22" spans="1:9" x14ac:dyDescent="0.2">
      <c r="B22" s="16"/>
    </row>
    <row r="23" spans="1:9" x14ac:dyDescent="0.2">
      <c r="B23" s="92"/>
      <c r="C23" s="94"/>
      <c r="D23" s="95"/>
    </row>
    <row r="24" spans="1:9" x14ac:dyDescent="0.2">
      <c r="B24" s="93"/>
      <c r="C24" s="93"/>
      <c r="D24" s="93"/>
    </row>
    <row r="25" spans="1:9" ht="15" x14ac:dyDescent="0.2">
      <c r="B25" s="84"/>
      <c r="C25" s="85"/>
      <c r="D25" s="86"/>
    </row>
    <row r="26" spans="1:9" ht="15" x14ac:dyDescent="0.25">
      <c r="B26" s="87"/>
      <c r="C26" s="88"/>
      <c r="D26" s="88"/>
    </row>
    <row r="27" spans="1:9" ht="15" x14ac:dyDescent="0.25">
      <c r="B27" s="87"/>
      <c r="C27" s="88"/>
      <c r="D27" s="88"/>
    </row>
    <row r="28" spans="1:9" ht="15" x14ac:dyDescent="0.25">
      <c r="B28" s="89"/>
      <c r="C28" s="88"/>
      <c r="D28" s="88"/>
    </row>
    <row r="29" spans="1:9" ht="15" x14ac:dyDescent="0.25">
      <c r="B29" s="89"/>
      <c r="C29" s="88"/>
      <c r="D29" s="88"/>
    </row>
    <row r="30" spans="1:9" ht="15" x14ac:dyDescent="0.25">
      <c r="B30" s="89"/>
      <c r="C30" s="88"/>
      <c r="D30" s="88"/>
    </row>
    <row r="31" spans="1:9" ht="15" x14ac:dyDescent="0.25">
      <c r="B31" s="89"/>
      <c r="C31" s="88"/>
      <c r="D31" s="88"/>
    </row>
    <row r="32" spans="1:9" ht="15" x14ac:dyDescent="0.25">
      <c r="B32" s="89"/>
      <c r="C32" s="88"/>
      <c r="D32" s="88"/>
    </row>
    <row r="33" spans="2:4" ht="15" x14ac:dyDescent="0.25">
      <c r="B33" s="89"/>
      <c r="C33" s="88"/>
      <c r="D33" s="88"/>
    </row>
    <row r="34" spans="2:4" ht="15" x14ac:dyDescent="0.25">
      <c r="B34" s="89"/>
      <c r="C34" s="88"/>
      <c r="D34" s="88"/>
    </row>
    <row r="35" spans="2:4" ht="15" x14ac:dyDescent="0.25">
      <c r="B35" s="89"/>
      <c r="C35" s="88"/>
      <c r="D35" s="88"/>
    </row>
    <row r="36" spans="2:4" ht="15" x14ac:dyDescent="0.25">
      <c r="B36" s="89"/>
      <c r="C36" s="88"/>
      <c r="D36" s="88"/>
    </row>
    <row r="37" spans="2:4" ht="15" x14ac:dyDescent="0.25">
      <c r="B37" s="89"/>
      <c r="C37" s="88"/>
      <c r="D37" s="88"/>
    </row>
    <row r="38" spans="2:4" ht="15" x14ac:dyDescent="0.25">
      <c r="B38" s="89"/>
      <c r="C38" s="88"/>
      <c r="D38" s="88"/>
    </row>
    <row r="39" spans="2:4" ht="15" x14ac:dyDescent="0.25">
      <c r="B39" s="89"/>
      <c r="C39" s="88"/>
      <c r="D39" s="88"/>
    </row>
    <row r="40" spans="2:4" ht="15" x14ac:dyDescent="0.25">
      <c r="B40" s="89"/>
      <c r="C40" s="88"/>
      <c r="D40" s="88"/>
    </row>
    <row r="41" spans="2:4" ht="15" x14ac:dyDescent="0.25">
      <c r="B41" s="89"/>
      <c r="C41" s="88"/>
      <c r="D41" s="88"/>
    </row>
    <row r="42" spans="2:4" ht="15" x14ac:dyDescent="0.25">
      <c r="B42" s="89"/>
      <c r="C42" s="88"/>
      <c r="D42" s="88"/>
    </row>
    <row r="43" spans="2:4" x14ac:dyDescent="0.2">
      <c r="B43" s="83"/>
      <c r="C43" s="83"/>
      <c r="D43" s="83"/>
    </row>
  </sheetData>
  <sortState xmlns:xlrd2="http://schemas.microsoft.com/office/spreadsheetml/2017/richdata2" ref="B23:C39">
    <sortCondition descending="1" ref="C23:C39"/>
  </sortState>
  <mergeCells count="3">
    <mergeCell ref="B23:B24"/>
    <mergeCell ref="C23:C24"/>
    <mergeCell ref="D23:D24"/>
  </mergeCells>
  <printOptions horizontalCentered="1" verticalCentered="1"/>
  <pageMargins left="0" right="0" top="3.1496062992125991E-2" bottom="0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EE9B"/>
    <pageSetUpPr fitToPage="1"/>
  </sheetPr>
  <dimension ref="A1:H29"/>
  <sheetViews>
    <sheetView zoomScale="80" zoomScaleNormal="80" workbookViewId="0">
      <selection activeCell="B1" sqref="B1"/>
    </sheetView>
  </sheetViews>
  <sheetFormatPr defaultRowHeight="14.25" x14ac:dyDescent="0.2"/>
  <cols>
    <col min="1" max="1" width="3.5703125" style="2" customWidth="1"/>
    <col min="2" max="2" width="8.140625" style="2" customWidth="1"/>
    <col min="3" max="3" width="28" style="2" customWidth="1"/>
    <col min="4" max="4" width="14.28515625" style="2" customWidth="1"/>
    <col min="5" max="5" width="13.28515625" style="2" customWidth="1"/>
    <col min="6" max="6" width="18.42578125" style="2" customWidth="1"/>
    <col min="7" max="7" width="13.140625" style="2" customWidth="1"/>
    <col min="8" max="8" width="16.7109375" style="2" customWidth="1"/>
    <col min="9" max="17" width="9.140625" style="2"/>
    <col min="18" max="18" width="3.5703125" style="2" customWidth="1"/>
    <col min="19" max="16384" width="9.140625" style="2"/>
  </cols>
  <sheetData>
    <row r="1" spans="1:8" x14ac:dyDescent="0.2">
      <c r="B1" s="1" t="s">
        <v>20</v>
      </c>
    </row>
    <row r="2" spans="1:8" ht="15" x14ac:dyDescent="0.2">
      <c r="C2" s="7"/>
      <c r="D2" s="8"/>
    </row>
    <row r="3" spans="1:8" ht="71.25" x14ac:dyDescent="0.2">
      <c r="B3" s="19" t="s">
        <v>19</v>
      </c>
      <c r="C3" s="18" t="str">
        <f>T(b.Pol!B2)</f>
        <v>powiaty</v>
      </c>
      <c r="D3" s="18" t="str">
        <f>T(b.Pol!C2)</f>
        <v>Stopa bezrobocia stan na 31-01-'26 r. (w proc.)</v>
      </c>
      <c r="E3" s="18" t="str">
        <f>T(b.Pol!D2)</f>
        <v>Stopa bezrobocia stan na 31-12-'25 r. (w proc.)*</v>
      </c>
      <c r="F3" s="21" t="str">
        <f>T(b.Pol!E2)</f>
        <v>wzrost lub spadek do poprzedniego miesiąca (pkt. proc.)</v>
      </c>
      <c r="G3" s="24" t="str">
        <f>T(b.Pol!F2)</f>
        <v>Stopa bezrobocia stan na 31-01-'25 r. (w proc.)**</v>
      </c>
      <c r="H3" s="21" t="str">
        <f>T(b.Pol!G2)</f>
        <v>wzrost lub spadek do początku roku (pkt. proc.)</v>
      </c>
    </row>
    <row r="4" spans="1:8" x14ac:dyDescent="0.2">
      <c r="A4" s="2">
        <v>1</v>
      </c>
      <c r="B4" s="4">
        <f>RANK(b.Pol!C3,b.Pol!$C$3:'b.Pol'!$C$19,1)+COUNTIF(b.Pol!$C$3:'b.Pol'!C3,b.Pol!C3)-1</f>
        <v>7</v>
      </c>
      <c r="C4" s="3" t="str">
        <f>INDEX(b.Pol!B3:G19,MATCH(1,B4:B20,0),1)</f>
        <v>WIELKOPOLSKIE</v>
      </c>
      <c r="D4" s="12">
        <f>INDEX(b.Pol!B3:G19,MATCH(1,B4:B20,0),2)</f>
        <v>3.8</v>
      </c>
      <c r="E4" s="15">
        <f>INDEX(b.Pol!B3:G19,MATCH(1,B4:B20,0),3)</f>
        <v>3.5</v>
      </c>
      <c r="F4" s="22">
        <f>INDEX(b.Pol!B3:G19,MATCH(1,B4:B20,0),4)</f>
        <v>0.29999999999999982</v>
      </c>
      <c r="G4" s="15">
        <f>INDEX(b.Pol!B3:G19,MATCH(1,B4:B20,0),5)</f>
        <v>3.2</v>
      </c>
      <c r="H4" s="22">
        <f>INDEX(b.Pol!B3:G19,MATCH(1,B4:B20,0),6)</f>
        <v>0.59999999999999964</v>
      </c>
    </row>
    <row r="5" spans="1:8" x14ac:dyDescent="0.2">
      <c r="A5" s="2">
        <v>2</v>
      </c>
      <c r="B5" s="4">
        <f>RANK(b.Pol!C4,b.Pol!$C$3:'b.Pol'!$C$19,1)+COUNTIF(b.Pol!$C$3:'b.Pol'!C4,b.Pol!C4)-1</f>
        <v>5</v>
      </c>
      <c r="C5" s="3" t="str">
        <f>INDEX(b.Pol!B3:G19,MATCH(2,B4:B20,0),1)</f>
        <v>MAZOWIECKIE</v>
      </c>
      <c r="D5" s="5">
        <f>INDEX(b.Pol!B3:G19,MATCH(2,B4:B20,0),2)</f>
        <v>4.5</v>
      </c>
      <c r="E5" s="15">
        <f>INDEX(b.Pol!B3:G19,MATCH(2,B4:B20,0),3)</f>
        <v>4.3</v>
      </c>
      <c r="F5" s="22">
        <f>INDEX(b.Pol!B3:G19,MATCH(2,B4:B20,0),4)</f>
        <v>0.20000000000000018</v>
      </c>
      <c r="G5" s="15">
        <f>INDEX(b.Pol!B3:G19,MATCH(2,B4:B20,0),5)</f>
        <v>4.2</v>
      </c>
      <c r="H5" s="22">
        <f>INDEX(b.Pol!B3:G19,MATCH(2,B4:B20,0),6)</f>
        <v>0.29999999999999982</v>
      </c>
    </row>
    <row r="6" spans="1:8" x14ac:dyDescent="0.2">
      <c r="A6" s="2">
        <v>3</v>
      </c>
      <c r="B6" s="4">
        <f>RANK(b.Pol!C5,b.Pol!$C$3:'b.Pol'!$C$19,1)+COUNTIF(b.Pol!$C$3:'b.Pol'!C5,b.Pol!C5)-1</f>
        <v>13</v>
      </c>
      <c r="C6" s="3" t="str">
        <f>INDEX(b.Pol!B3:G19,MATCH(3,B4:B20,0),1)</f>
        <v>ŚLĄSKIE</v>
      </c>
      <c r="D6" s="5">
        <f>INDEX(b.Pol!B3:G19,MATCH(3,B4:B20,0),2)</f>
        <v>4.7</v>
      </c>
      <c r="E6" s="15">
        <f>INDEX(b.Pol!B3:G19,MATCH(3,B4:B20,0),3)</f>
        <v>4.4000000000000004</v>
      </c>
      <c r="F6" s="22">
        <f>INDEX(b.Pol!B3:G19,MATCH(3,B4:B20,0),4)</f>
        <v>0.29999999999999982</v>
      </c>
      <c r="G6" s="15">
        <f>INDEX(b.Pol!B3:G19,MATCH(3,B4:B20,0),5)</f>
        <v>3.9</v>
      </c>
      <c r="H6" s="22">
        <f>INDEX(b.Pol!B3:G19,MATCH(3,B4:B20,0),6)</f>
        <v>0.80000000000000027</v>
      </c>
    </row>
    <row r="7" spans="1:8" x14ac:dyDescent="0.2">
      <c r="A7" s="2">
        <v>4</v>
      </c>
      <c r="B7" s="4">
        <f>RANK(b.Pol!C6,b.Pol!$C$3:'b.Pol'!$C$19,1)+COUNTIF(b.Pol!$C$3:'b.Pol'!C6,b.Pol!C6)-1</f>
        <v>14</v>
      </c>
      <c r="C7" s="3" t="str">
        <f>INDEX(b.Pol!B3:G19,MATCH(4,B4:B20,0),1)</f>
        <v>MAŁOPOLSKIE</v>
      </c>
      <c r="D7" s="5">
        <f>INDEX(b.Pol!B3:G19,MATCH(4,B4:B20,0),2)</f>
        <v>5</v>
      </c>
      <c r="E7" s="15">
        <f>INDEX(b.Pol!B3:G19,MATCH(4,B4:B20,0),3)</f>
        <v>4.7</v>
      </c>
      <c r="F7" s="22">
        <f>INDEX(b.Pol!B3:G19,MATCH(4,B4:B20,0),4)</f>
        <v>0.29999999999999982</v>
      </c>
      <c r="G7" s="15">
        <f>INDEX(b.Pol!B3:G19,MATCH(4,B4:B20,0),5)</f>
        <v>4.4000000000000004</v>
      </c>
      <c r="H7" s="22">
        <f>INDEX(b.Pol!B3:G19,MATCH(4,B4:B20,0),6)</f>
        <v>0.59999999999999964</v>
      </c>
    </row>
    <row r="8" spans="1:8" x14ac:dyDescent="0.2">
      <c r="A8" s="2">
        <v>5</v>
      </c>
      <c r="B8" s="4">
        <f>RANK(b.Pol!C7,b.Pol!$C$3:'b.Pol'!$C$19,1)+COUNTIF(b.Pol!$C$3:'b.Pol'!C7,b.Pol!C7)-1</f>
        <v>8</v>
      </c>
      <c r="C8" s="3" t="str">
        <f>INDEX(b.Pol!B3:G19,MATCH(5,B4:B20,0),1)</f>
        <v>DOLNOŚLĄSKIE</v>
      </c>
      <c r="D8" s="5">
        <f>INDEX(b.Pol!B3:G19,MATCH(5,B4:B20,0),2)</f>
        <v>5.6</v>
      </c>
      <c r="E8" s="15">
        <f>INDEX(b.Pol!B3:G19,MATCH(5,B4:B20,0),3)</f>
        <v>5.3</v>
      </c>
      <c r="F8" s="22">
        <f>INDEX(b.Pol!B3:G19,MATCH(5,B4:B20,0),4)</f>
        <v>0.29999999999999982</v>
      </c>
      <c r="G8" s="15">
        <f>INDEX(b.Pol!B3:G19,MATCH(5,B4:B20,0),5)</f>
        <v>5</v>
      </c>
      <c r="H8" s="22">
        <f>INDEX(b.Pol!B3:G19,MATCH(5,B4:B20,0),6)</f>
        <v>0.59999999999999964</v>
      </c>
    </row>
    <row r="9" spans="1:8" x14ac:dyDescent="0.2">
      <c r="A9" s="2">
        <v>6</v>
      </c>
      <c r="B9" s="4">
        <f>RANK(b.Pol!C8,b.Pol!$C$3:'b.Pol'!$C$19,1)+COUNTIF(b.Pol!$C$3:'b.Pol'!C8,b.Pol!C8)-1</f>
        <v>9</v>
      </c>
      <c r="C9" s="3" t="str">
        <f>INDEX(b.Pol!B3:G19,MATCH(6,B4:B20,0),1)</f>
        <v>POMORSKIE</v>
      </c>
      <c r="D9" s="5">
        <f>INDEX(b.Pol!B3:G19,MATCH(6,B4:B20,0),2)</f>
        <v>5.6</v>
      </c>
      <c r="E9" s="15">
        <f>INDEX(b.Pol!B3:G19,MATCH(6,B4:B20,0),3)</f>
        <v>5.3</v>
      </c>
      <c r="F9" s="22">
        <f>INDEX(b.Pol!B3:G19,MATCH(6,B4:B20,0),4)</f>
        <v>0.29999999999999982</v>
      </c>
      <c r="G9" s="15">
        <f>INDEX(b.Pol!B3:G19,MATCH(6,B4:B20,0),5)</f>
        <v>4.9000000000000004</v>
      </c>
      <c r="H9" s="22">
        <f>INDEX(b.Pol!B3:G19,MATCH(6,B4:B20,0),6)</f>
        <v>0.69999999999999929</v>
      </c>
    </row>
    <row r="10" spans="1:8" x14ac:dyDescent="0.2">
      <c r="A10" s="2">
        <v>7</v>
      </c>
      <c r="B10" s="4">
        <f>RANK(b.Pol!C9,b.Pol!$C$3:'b.Pol'!$C$19,1)+COUNTIF(b.Pol!$C$3:'b.Pol'!C9,b.Pol!C9)-1</f>
        <v>4</v>
      </c>
      <c r="C10" s="6" t="str">
        <f>INDEX(b.Pol!B3:G19,MATCH(7,B4:B20,0),1)</f>
        <v>POLSKA</v>
      </c>
      <c r="D10" s="5">
        <f>INDEX(b.Pol!B3:G19,MATCH(7,B4:B20,0),2)</f>
        <v>6</v>
      </c>
      <c r="E10" s="15">
        <f>INDEX(b.Pol!B3:G19,MATCH(7,B4:B20,0),3)</f>
        <v>5.7</v>
      </c>
      <c r="F10" s="22">
        <f>INDEX(b.Pol!B3:G19,MATCH(7,B4:B20,0),4)</f>
        <v>0.29999999999999982</v>
      </c>
      <c r="G10" s="15">
        <f>INDEX(b.Pol!B3:G19,MATCH(7,B4:B20,0),5)</f>
        <v>5.4</v>
      </c>
      <c r="H10" s="22">
        <f>INDEX(b.Pol!B3:G19,MATCH(7,B4:B20,0),6)</f>
        <v>0.59999999999999964</v>
      </c>
    </row>
    <row r="11" spans="1:8" x14ac:dyDescent="0.2">
      <c r="A11" s="2">
        <v>8</v>
      </c>
      <c r="B11" s="4">
        <f>RANK(b.Pol!C10,b.Pol!$C$3:'b.Pol'!$C$19,1)+COUNTIF(b.Pol!$C$3:'b.Pol'!C10,b.Pol!C10)-1</f>
        <v>2</v>
      </c>
      <c r="C11" s="3" t="str">
        <f>INDEX(b.Pol!B3:G19,MATCH(8,B4:B20,0),1)</f>
        <v>LUBUSKIE</v>
      </c>
      <c r="D11" s="5">
        <f>INDEX(b.Pol!B3:G19,MATCH(8,B4:B20,0),2)</f>
        <v>6.1</v>
      </c>
      <c r="E11" s="15">
        <f>INDEX(b.Pol!B3:G19,MATCH(8,B4:B20,0),3)</f>
        <v>5.7</v>
      </c>
      <c r="F11" s="22">
        <f>INDEX(b.Pol!B3:G19,MATCH(8,B4:B20,0),4)</f>
        <v>0.39999999999999947</v>
      </c>
      <c r="G11" s="15">
        <f>INDEX(b.Pol!B3:G19,MATCH(8,B4:B20,0),5)</f>
        <v>4.9000000000000004</v>
      </c>
      <c r="H11" s="22">
        <f>INDEX(b.Pol!B3:G19,MATCH(8,B4:B20,0),6)</f>
        <v>1.1999999999999993</v>
      </c>
    </row>
    <row r="12" spans="1:8" x14ac:dyDescent="0.2">
      <c r="A12" s="2">
        <v>9</v>
      </c>
      <c r="B12" s="4">
        <f>RANK(b.Pol!C11,b.Pol!$C$3:'b.Pol'!$C$19,1)+COUNTIF(b.Pol!$C$3:'b.Pol'!C11,b.Pol!C11)-1</f>
        <v>10</v>
      </c>
      <c r="C12" s="3" t="str">
        <f>INDEX(b.Pol!B3:G19,MATCH(9,B4:B20,0),1)</f>
        <v>ŁÓDZKIE</v>
      </c>
      <c r="D12" s="5">
        <f>INDEX(b.Pol!B3:G19,MATCH(9,B4:B20,0),2)</f>
        <v>6.6</v>
      </c>
      <c r="E12" s="15">
        <f>INDEX(b.Pol!B3:G19,MATCH(9,B4:B20,0),3)</f>
        <v>6.3</v>
      </c>
      <c r="F12" s="22">
        <f>INDEX(b.Pol!B3:G19,MATCH(9,B4:B20,0),4)</f>
        <v>0.29999999999999982</v>
      </c>
      <c r="G12" s="15">
        <f>INDEX(b.Pol!B3:G19,MATCH(9,B4:B20,0),5)</f>
        <v>5.8</v>
      </c>
      <c r="H12" s="22">
        <f>INDEX(b.Pol!B3:G19,MATCH(9,B4:B20,0),6)</f>
        <v>0.79999999999999982</v>
      </c>
    </row>
    <row r="13" spans="1:8" x14ac:dyDescent="0.2">
      <c r="A13" s="2">
        <v>10</v>
      </c>
      <c r="B13" s="4">
        <f>RANK(b.Pol!C12,b.Pol!$C$3:'b.Pol'!$C$19,1)+COUNTIF(b.Pol!$C$3:'b.Pol'!C12,b.Pol!C12)-1</f>
        <v>16</v>
      </c>
      <c r="C13" s="3" t="str">
        <f>INDEX(b.Pol!B3:G19,MATCH(10,B4:B20,0),1)</f>
        <v>OPOLSKIE</v>
      </c>
      <c r="D13" s="5">
        <f>INDEX(b.Pol!B3:G19,MATCH(10,B4:B20,0),2)</f>
        <v>6.7</v>
      </c>
      <c r="E13" s="15">
        <f>INDEX(b.Pol!B3:G19,MATCH(10,B4:B20,0),3)</f>
        <v>6.4</v>
      </c>
      <c r="F13" s="22">
        <f>INDEX(b.Pol!B3:G19,MATCH(10,B4:B20,0),4)</f>
        <v>0.29999999999999982</v>
      </c>
      <c r="G13" s="15">
        <f>INDEX(b.Pol!B3:G19,MATCH(10,B4:B20,0),5)</f>
        <v>6.3</v>
      </c>
      <c r="H13" s="22">
        <f>INDEX(b.Pol!B3:G19,MATCH(10,B4:B20,0),6)</f>
        <v>0.40000000000000036</v>
      </c>
    </row>
    <row r="14" spans="1:8" x14ac:dyDescent="0.2">
      <c r="A14" s="2">
        <v>11</v>
      </c>
      <c r="B14" s="4">
        <f>RANK(b.Pol!C13,b.Pol!$C$3:'b.Pol'!$C$19,1)+COUNTIF(b.Pol!$C$3:'b.Pol'!C13,b.Pol!C13)-1</f>
        <v>11</v>
      </c>
      <c r="C14" s="3" t="str">
        <f>INDEX(b.Pol!B3:G19,MATCH(11,B4:B20,0),1)</f>
        <v>PODLASKIE</v>
      </c>
      <c r="D14" s="5">
        <f>INDEX(b.Pol!B3:G19,MATCH(11,B4:B20,0),2)</f>
        <v>7.8</v>
      </c>
      <c r="E14" s="15">
        <f>INDEX(b.Pol!B3:G19,MATCH(11,B4:B20,0),3)</f>
        <v>7.4</v>
      </c>
      <c r="F14" s="22">
        <f>INDEX(b.Pol!B3:G19,MATCH(11,B4:B20,0),4)</f>
        <v>0.39999999999999947</v>
      </c>
      <c r="G14" s="15">
        <f>INDEX(b.Pol!B3:G19,MATCH(11,B4:B20,0),5)</f>
        <v>7.4</v>
      </c>
      <c r="H14" s="22">
        <f>INDEX(b.Pol!B3:G19,MATCH(11,B4:B20,0),6)</f>
        <v>0.39999999999999947</v>
      </c>
    </row>
    <row r="15" spans="1:8" x14ac:dyDescent="0.2">
      <c r="A15" s="2">
        <v>12</v>
      </c>
      <c r="B15" s="4">
        <f>RANK(b.Pol!C14,b.Pol!$C$3:'b.Pol'!$C$19,1)+COUNTIF(b.Pol!$C$3:'b.Pol'!C14,b.Pol!C14)-1</f>
        <v>6</v>
      </c>
      <c r="C15" s="3" t="str">
        <f>INDEX(b.Pol!B3:G19,MATCH(12,B4:B20,0),1)</f>
        <v>ZACHODNIOPOMORSKIE</v>
      </c>
      <c r="D15" s="5">
        <f>INDEX(b.Pol!B3:G19,MATCH(12,B4:B20,0),2)</f>
        <v>8.1</v>
      </c>
      <c r="E15" s="15">
        <f>INDEX(b.Pol!B3:G19,MATCH(12,B4:B20,0),3)</f>
        <v>7.7</v>
      </c>
      <c r="F15" s="22">
        <f>INDEX(b.Pol!B3:G19,MATCH(12,B4:B20,0),4)</f>
        <v>0.39999999999999947</v>
      </c>
      <c r="G15" s="15">
        <f>INDEX(b.Pol!B3:G19,MATCH(12,B4:B20,0),5)</f>
        <v>7.3</v>
      </c>
      <c r="H15" s="22">
        <f>INDEX(b.Pol!B3:G19,MATCH(12,B4:B20,0),6)</f>
        <v>0.79999999999999982</v>
      </c>
    </row>
    <row r="16" spans="1:8" x14ac:dyDescent="0.2">
      <c r="A16" s="2">
        <v>13</v>
      </c>
      <c r="B16" s="4">
        <f>RANK(b.Pol!C15,b.Pol!$C$3:'b.Pol'!$C$19,1)+COUNTIF(b.Pol!$C$3:'b.Pol'!C15,b.Pol!C15)-1</f>
        <v>3</v>
      </c>
      <c r="C16" s="3" t="str">
        <f>INDEX(b.Pol!B3:G19,MATCH(13,B4:B20,0),1)</f>
        <v>KUJAWSKO-POMORSKIE</v>
      </c>
      <c r="D16" s="5">
        <f>INDEX(b.Pol!B3:G19,MATCH(13,B4:B20,0),2)</f>
        <v>8.1999999999999993</v>
      </c>
      <c r="E16" s="15">
        <f>INDEX(b.Pol!B3:G19,MATCH(13,B4:B20,0),3)</f>
        <v>7.8</v>
      </c>
      <c r="F16" s="22">
        <f>INDEX(b.Pol!B3:G19,MATCH(13,B4:B20,0),4)</f>
        <v>0.39999999999999947</v>
      </c>
      <c r="G16" s="15">
        <f>INDEX(b.Pol!B3:G19,MATCH(13,B4:B20,0),5)</f>
        <v>7.8</v>
      </c>
      <c r="H16" s="22">
        <f>INDEX(b.Pol!B3:G19,MATCH(13,B4:B20,0),6)</f>
        <v>0.39999999999999947</v>
      </c>
    </row>
    <row r="17" spans="1:8" x14ac:dyDescent="0.2">
      <c r="A17" s="2">
        <v>14</v>
      </c>
      <c r="B17" s="4">
        <f>RANK(b.Pol!C16,b.Pol!$C$3:'b.Pol'!$C$19,1)+COUNTIF(b.Pol!$C$3:'b.Pol'!C16,b.Pol!C16)-1</f>
        <v>15</v>
      </c>
      <c r="C17" s="3" t="str">
        <f>INDEX(b.Pol!B3:G19,MATCH(14,B4:B20,0),1)</f>
        <v>LUBELSKIE</v>
      </c>
      <c r="D17" s="5">
        <f>INDEX(b.Pol!B3:G19,MATCH(14,B4:B20,0),2)</f>
        <v>8.5</v>
      </c>
      <c r="E17" s="15">
        <f>INDEX(b.Pol!B3:G19,MATCH(14,B4:B20,0),3)</f>
        <v>8.1</v>
      </c>
      <c r="F17" s="22">
        <f>INDEX(b.Pol!B3:G19,MATCH(14,B4:B20,0),4)</f>
        <v>0.40000000000000036</v>
      </c>
      <c r="G17" s="15">
        <f>INDEX(b.Pol!B3:G19,MATCH(14,B4:B20,0),5)</f>
        <v>7.8</v>
      </c>
      <c r="H17" s="22">
        <f>INDEX(b.Pol!B3:G19,MATCH(14,B4:B20,0),6)</f>
        <v>0.70000000000000018</v>
      </c>
    </row>
    <row r="18" spans="1:8" x14ac:dyDescent="0.2">
      <c r="A18" s="2">
        <v>15</v>
      </c>
      <c r="B18" s="4">
        <f>RANK(b.Pol!C17,b.Pol!$C$3:'b.Pol'!$C$19,1)+COUNTIF(b.Pol!$C$3:'b.Pol'!C17,b.Pol!C17)-1</f>
        <v>17</v>
      </c>
      <c r="C18" s="3" t="str">
        <f>INDEX(b.Pol!B3:G19,MATCH(15,B4:B20,0),1)</f>
        <v>ŚWIĘTOKRZYSKIE</v>
      </c>
      <c r="D18" s="5">
        <f>INDEX(b.Pol!B3:G19,MATCH(15,B4:B20,0),2)</f>
        <v>8.8000000000000007</v>
      </c>
      <c r="E18" s="15">
        <f>INDEX(b.Pol!B3:G19,MATCH(15,B4:B20,0),3)</f>
        <v>8.4</v>
      </c>
      <c r="F18" s="22">
        <f>INDEX(b.Pol!B3:G19,MATCH(15,B4:B20,0),4)</f>
        <v>0.40000000000000036</v>
      </c>
      <c r="G18" s="15">
        <f>INDEX(b.Pol!B3:G19,MATCH(15,B4:B20,0),5)</f>
        <v>8.1</v>
      </c>
      <c r="H18" s="22">
        <f>INDEX(b.Pol!B3:G19,MATCH(15,B4:B20,0),6)</f>
        <v>0.70000000000000107</v>
      </c>
    </row>
    <row r="19" spans="1:8" x14ac:dyDescent="0.2">
      <c r="A19" s="2">
        <v>16</v>
      </c>
      <c r="B19" s="4">
        <f>RANK(b.Pol!C18,b.Pol!$C$3:'b.Pol'!$C$19,1)+COUNTIF(b.Pol!$C$3:'b.Pol'!C18,b.Pol!C18)-1</f>
        <v>1</v>
      </c>
      <c r="C19" s="3" t="str">
        <f>INDEX(b.Pol!B3:G19,MATCH(16,B4:B20,0),1)</f>
        <v>PODKARPACKIE</v>
      </c>
      <c r="D19" s="5">
        <f>INDEX(b.Pol!B3:G19,MATCH(16,B4:B20,0),2)</f>
        <v>9.6</v>
      </c>
      <c r="E19" s="15">
        <f>INDEX(b.Pol!B3:G19,MATCH(16,B4:B20,0),3)</f>
        <v>9.3000000000000007</v>
      </c>
      <c r="F19" s="22">
        <f>INDEX(b.Pol!B3:G19,MATCH(16,B4:B20,0),4)</f>
        <v>0.29999999999999893</v>
      </c>
      <c r="G19" s="15">
        <f>INDEX(b.Pol!B3:G19,MATCH(16,B4:B20,0),5)</f>
        <v>9.1999999999999993</v>
      </c>
      <c r="H19" s="22">
        <f>INDEX(b.Pol!B3:G19,MATCH(16,B4:B20,0),6)</f>
        <v>0.40000000000000036</v>
      </c>
    </row>
    <row r="20" spans="1:8" x14ac:dyDescent="0.2">
      <c r="A20" s="2">
        <v>17</v>
      </c>
      <c r="B20" s="4">
        <f>RANK(b.Pol!C19,b.Pol!$C$3:'b.Pol'!$C$19,1)+COUNTIF(b.Pol!$C$3:'b.Pol'!C19,b.Pol!C19)-1</f>
        <v>12</v>
      </c>
      <c r="C20" s="6" t="str">
        <f>INDEX(b.Pol!B3:G19,MATCH(17,B4:B20,0),1)</f>
        <v>WARMIŃSKO-MAZURSKIE</v>
      </c>
      <c r="D20" s="5">
        <f>INDEX(b.Pol!B3:G19,MATCH(17,B4:B20,0),2)</f>
        <v>9.9</v>
      </c>
      <c r="E20" s="15">
        <f>INDEX(b.Pol!B3:G19,MATCH(17,B4:B20,0),3)</f>
        <v>9.3000000000000007</v>
      </c>
      <c r="F20" s="22">
        <f>INDEX(b.Pol!B3:G19,MATCH(17,B4:B20,0),4)</f>
        <v>0.59999999999999964</v>
      </c>
      <c r="G20" s="15">
        <f>INDEX(b.Pol!B3:G19,MATCH(17,B4:B20,0),5)</f>
        <v>9.1</v>
      </c>
      <c r="H20" s="22">
        <f>INDEX(b.Pol!B3:G19,MATCH(17,B4:B20,0),6)</f>
        <v>0.80000000000000071</v>
      </c>
    </row>
    <row r="21" spans="1:8" x14ac:dyDescent="0.2">
      <c r="B21" s="16" t="str">
        <f>T(b.Pol!B20)</f>
        <v xml:space="preserve">GUS, Bank Danych Lokalnych </v>
      </c>
    </row>
    <row r="22" spans="1:8" x14ac:dyDescent="0.2">
      <c r="B22" s="16" t="s">
        <v>108</v>
      </c>
    </row>
    <row r="23" spans="1:8" x14ac:dyDescent="0.2">
      <c r="B23" s="17"/>
    </row>
    <row r="29" spans="1:8" ht="21" x14ac:dyDescent="0.2">
      <c r="F29" s="82"/>
    </row>
  </sheetData>
  <pageMargins left="0" right="0" top="0.31496062992125984" bottom="0" header="0" footer="0"/>
  <pageSetup paperSize="9" scale="68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11C88C-B5ED-43A9-9222-C5DB555B6FCD}">
  <sheetPr>
    <tabColor theme="0"/>
  </sheetPr>
  <dimension ref="A1:M47"/>
  <sheetViews>
    <sheetView zoomScale="80" zoomScaleNormal="80" workbookViewId="0">
      <selection activeCell="B1" sqref="B1"/>
    </sheetView>
  </sheetViews>
  <sheetFormatPr defaultRowHeight="12" x14ac:dyDescent="0.2"/>
  <cols>
    <col min="1" max="1" width="1.5703125" style="25" customWidth="1"/>
    <col min="2" max="2" width="8.42578125" style="26" customWidth="1"/>
    <col min="3" max="3" width="9" style="26" customWidth="1"/>
    <col min="4" max="4" width="15.28515625" style="26" customWidth="1"/>
    <col min="5" max="5" width="17.7109375" style="26" customWidth="1"/>
    <col min="6" max="6" width="11.140625" style="26" customWidth="1"/>
    <col min="7" max="7" width="13.5703125" style="26" customWidth="1"/>
    <col min="8" max="8" width="10.42578125" style="26" customWidth="1"/>
    <col min="9" max="9" width="14.140625" style="26" customWidth="1"/>
    <col min="10" max="10" width="2.140625" style="26" customWidth="1"/>
    <col min="11" max="11" width="11" style="26" customWidth="1"/>
    <col min="12" max="12" width="7" style="26" customWidth="1"/>
    <col min="13" max="13" width="11.140625" style="26" customWidth="1"/>
    <col min="14" max="14" width="4.7109375" style="26" customWidth="1"/>
    <col min="15" max="15" width="5" style="26" customWidth="1"/>
    <col min="16" max="16384" width="9.140625" style="26"/>
  </cols>
  <sheetData>
    <row r="1" spans="1:13" ht="16.5" customHeight="1" thickBot="1" x14ac:dyDescent="0.25">
      <c r="B1" s="1" t="s">
        <v>103</v>
      </c>
      <c r="E1" s="1" t="s">
        <v>23</v>
      </c>
      <c r="K1" s="2" t="s">
        <v>22</v>
      </c>
    </row>
    <row r="2" spans="1:13" ht="18" customHeight="1" x14ac:dyDescent="0.2">
      <c r="B2" s="50" t="s">
        <v>24</v>
      </c>
      <c r="C2" s="70" t="s">
        <v>1</v>
      </c>
      <c r="D2" s="39" t="s">
        <v>10</v>
      </c>
      <c r="E2" s="36" t="s">
        <v>25</v>
      </c>
      <c r="F2" s="37" t="s">
        <v>26</v>
      </c>
      <c r="G2" s="37" t="s">
        <v>27</v>
      </c>
      <c r="H2" s="38" t="s">
        <v>28</v>
      </c>
      <c r="I2" s="39" t="s">
        <v>29</v>
      </c>
      <c r="K2" s="70" t="s">
        <v>30</v>
      </c>
      <c r="L2" s="38" t="s">
        <v>31</v>
      </c>
      <c r="M2" s="39" t="s">
        <v>32</v>
      </c>
    </row>
    <row r="3" spans="1:13" x14ac:dyDescent="0.2">
      <c r="A3" s="27"/>
      <c r="B3" s="51" t="s">
        <v>33</v>
      </c>
      <c r="C3" s="71">
        <v>6.5</v>
      </c>
      <c r="D3" s="48"/>
      <c r="E3" s="55"/>
      <c r="F3" s="56"/>
      <c r="G3" s="56"/>
      <c r="H3" s="57"/>
      <c r="I3" s="58"/>
      <c r="K3" s="78" t="s">
        <v>68</v>
      </c>
      <c r="L3" s="69">
        <v>0.3</v>
      </c>
      <c r="M3" s="48"/>
    </row>
    <row r="4" spans="1:13" x14ac:dyDescent="0.2">
      <c r="A4" s="27"/>
      <c r="B4" s="51" t="s">
        <v>34</v>
      </c>
      <c r="C4" s="71">
        <v>12.2</v>
      </c>
      <c r="D4" s="48"/>
      <c r="E4" s="55"/>
      <c r="F4" s="56"/>
      <c r="G4" s="56"/>
      <c r="H4" s="57"/>
      <c r="I4" s="58"/>
      <c r="K4" s="78" t="s">
        <v>69</v>
      </c>
      <c r="L4" s="69">
        <v>6.6</v>
      </c>
      <c r="M4" s="48"/>
    </row>
    <row r="5" spans="1:13" x14ac:dyDescent="0.2">
      <c r="A5" s="27"/>
      <c r="B5" s="51" t="s">
        <v>35</v>
      </c>
      <c r="C5" s="71">
        <v>14.3</v>
      </c>
      <c r="D5" s="48"/>
      <c r="E5" s="55"/>
      <c r="F5" s="56"/>
      <c r="G5" s="56"/>
      <c r="H5" s="57"/>
      <c r="I5" s="58"/>
      <c r="K5" s="78" t="s">
        <v>70</v>
      </c>
      <c r="L5" s="69">
        <v>12.1</v>
      </c>
      <c r="M5" s="48"/>
    </row>
    <row r="6" spans="1:13" x14ac:dyDescent="0.2">
      <c r="A6" s="27"/>
      <c r="B6" s="51" t="s">
        <v>36</v>
      </c>
      <c r="C6" s="71">
        <v>16.399999999999999</v>
      </c>
      <c r="D6" s="48"/>
      <c r="E6" s="55"/>
      <c r="F6" s="56"/>
      <c r="G6" s="56"/>
      <c r="H6" s="57"/>
      <c r="I6" s="58"/>
      <c r="K6" s="78" t="s">
        <v>71</v>
      </c>
      <c r="L6" s="69">
        <v>14.2</v>
      </c>
      <c r="M6" s="48"/>
    </row>
    <row r="7" spans="1:13" x14ac:dyDescent="0.2">
      <c r="A7" s="27"/>
      <c r="B7" s="51" t="s">
        <v>37</v>
      </c>
      <c r="C7" s="72">
        <v>16</v>
      </c>
      <c r="D7" s="48"/>
      <c r="E7" s="55"/>
      <c r="F7" s="56"/>
      <c r="G7" s="56"/>
      <c r="H7" s="57"/>
      <c r="I7" s="58"/>
      <c r="K7" s="78" t="s">
        <v>72</v>
      </c>
      <c r="L7" s="69">
        <v>16.7</v>
      </c>
      <c r="M7" s="48"/>
    </row>
    <row r="8" spans="1:13" x14ac:dyDescent="0.2">
      <c r="A8" s="27"/>
      <c r="B8" s="51" t="s">
        <v>38</v>
      </c>
      <c r="C8" s="71">
        <v>14.9</v>
      </c>
      <c r="D8" s="48"/>
      <c r="E8" s="55"/>
      <c r="F8" s="56"/>
      <c r="G8" s="56"/>
      <c r="H8" s="57"/>
      <c r="I8" s="58"/>
      <c r="K8" s="78" t="s">
        <v>73</v>
      </c>
      <c r="L8" s="69">
        <v>16.100000000000001</v>
      </c>
      <c r="M8" s="48"/>
    </row>
    <row r="9" spans="1:13" x14ac:dyDescent="0.2">
      <c r="A9" s="27"/>
      <c r="B9" s="51" t="s">
        <v>39</v>
      </c>
      <c r="C9" s="71">
        <v>13.2</v>
      </c>
      <c r="D9" s="48"/>
      <c r="E9" s="55"/>
      <c r="F9" s="56"/>
      <c r="G9" s="56"/>
      <c r="H9" s="57"/>
      <c r="I9" s="58"/>
      <c r="K9" s="78" t="s">
        <v>74</v>
      </c>
      <c r="L9" s="69">
        <v>15.4</v>
      </c>
      <c r="M9" s="48"/>
    </row>
    <row r="10" spans="1:13" x14ac:dyDescent="0.2">
      <c r="A10" s="27"/>
      <c r="B10" s="51" t="s">
        <v>40</v>
      </c>
      <c r="C10" s="71">
        <v>10.3</v>
      </c>
      <c r="D10" s="48"/>
      <c r="E10" s="55"/>
      <c r="F10" s="56"/>
      <c r="G10" s="56"/>
      <c r="H10" s="57"/>
      <c r="I10" s="58"/>
      <c r="K10" s="78" t="s">
        <v>75</v>
      </c>
      <c r="L10" s="69">
        <v>13.1</v>
      </c>
      <c r="M10" s="48"/>
    </row>
    <row r="11" spans="1:13" x14ac:dyDescent="0.2">
      <c r="A11" s="27"/>
      <c r="B11" s="51" t="s">
        <v>41</v>
      </c>
      <c r="C11" s="71">
        <v>10.4</v>
      </c>
      <c r="D11" s="46">
        <v>12.4</v>
      </c>
      <c r="E11" s="40">
        <v>137367</v>
      </c>
      <c r="F11" s="29">
        <v>77793</v>
      </c>
      <c r="G11" s="29">
        <f>SUM(E11-F11)</f>
        <v>59574</v>
      </c>
      <c r="H11" s="28">
        <f t="shared" ref="H11:H38" si="0">SUM(F11)/E11*100</f>
        <v>56.631505383389026</v>
      </c>
      <c r="I11" s="41">
        <f>SUM(E11-F11)/E11*100</f>
        <v>43.368494616610974</v>
      </c>
      <c r="K11" s="78" t="s">
        <v>76</v>
      </c>
      <c r="L11" s="69">
        <v>10.7</v>
      </c>
      <c r="M11" s="48"/>
    </row>
    <row r="12" spans="1:13" x14ac:dyDescent="0.2">
      <c r="A12" s="27"/>
      <c r="B12" s="51" t="s">
        <v>42</v>
      </c>
      <c r="C12" s="71">
        <v>13.1</v>
      </c>
      <c r="D12" s="46">
        <v>14.5</v>
      </c>
      <c r="E12" s="40">
        <v>164692</v>
      </c>
      <c r="F12" s="29">
        <v>87827</v>
      </c>
      <c r="G12" s="29">
        <f t="shared" ref="G12:G36" si="1">SUM(E12-F12)</f>
        <v>76865</v>
      </c>
      <c r="H12" s="28">
        <f t="shared" si="0"/>
        <v>53.328030505428316</v>
      </c>
      <c r="I12" s="41">
        <f t="shared" ref="I12:I27" si="2">SUM(E12-F12)/E12*100</f>
        <v>46.671969494571684</v>
      </c>
      <c r="K12" s="78" t="s">
        <v>77</v>
      </c>
      <c r="L12" s="69">
        <v>11.4</v>
      </c>
      <c r="M12" s="46">
        <v>13.2</v>
      </c>
    </row>
    <row r="13" spans="1:13" x14ac:dyDescent="0.2">
      <c r="A13" s="27"/>
      <c r="B13" s="53" t="s">
        <v>43</v>
      </c>
      <c r="C13" s="73">
        <v>15.1</v>
      </c>
      <c r="D13" s="47">
        <v>15.9</v>
      </c>
      <c r="E13" s="43">
        <v>182168</v>
      </c>
      <c r="F13" s="31">
        <v>97270</v>
      </c>
      <c r="G13" s="31">
        <f t="shared" si="1"/>
        <v>84898</v>
      </c>
      <c r="H13" s="30">
        <f t="shared" si="0"/>
        <v>53.395766545167099</v>
      </c>
      <c r="I13" s="42">
        <f t="shared" si="2"/>
        <v>46.604233454832901</v>
      </c>
      <c r="K13" s="78" t="s">
        <v>78</v>
      </c>
      <c r="L13" s="69">
        <v>13.7</v>
      </c>
      <c r="M13" s="46">
        <v>15.1</v>
      </c>
    </row>
    <row r="14" spans="1:13" x14ac:dyDescent="0.2">
      <c r="A14" s="27"/>
      <c r="B14" s="53" t="s">
        <v>44</v>
      </c>
      <c r="C14" s="73">
        <v>17.5</v>
      </c>
      <c r="D14" s="47">
        <v>17.3</v>
      </c>
      <c r="E14" s="43">
        <v>195173</v>
      </c>
      <c r="F14" s="31">
        <v>100472</v>
      </c>
      <c r="G14" s="31">
        <f t="shared" si="1"/>
        <v>94701</v>
      </c>
      <c r="H14" s="30">
        <f t="shared" si="0"/>
        <v>51.478431955239714</v>
      </c>
      <c r="I14" s="42">
        <f t="shared" si="2"/>
        <v>48.521568044760286</v>
      </c>
      <c r="K14" s="78" t="s">
        <v>79</v>
      </c>
      <c r="L14" s="69">
        <v>15.7</v>
      </c>
      <c r="M14" s="46">
        <v>16.399999999999999</v>
      </c>
    </row>
    <row r="15" spans="1:13" x14ac:dyDescent="0.2">
      <c r="A15" s="27"/>
      <c r="B15" s="53" t="s">
        <v>45</v>
      </c>
      <c r="C15" s="74">
        <v>18</v>
      </c>
      <c r="D15" s="47">
        <v>16.899999999999999</v>
      </c>
      <c r="E15" s="43">
        <v>187519</v>
      </c>
      <c r="F15" s="31">
        <v>93772</v>
      </c>
      <c r="G15" s="31">
        <f t="shared" si="1"/>
        <v>93747</v>
      </c>
      <c r="H15" s="30">
        <f t="shared" si="0"/>
        <v>50.006665991179553</v>
      </c>
      <c r="I15" s="42">
        <f t="shared" si="2"/>
        <v>49.99333400882044</v>
      </c>
      <c r="K15" s="78" t="s">
        <v>81</v>
      </c>
      <c r="L15" s="69">
        <v>18.100000000000001</v>
      </c>
      <c r="M15" s="46">
        <v>17.8</v>
      </c>
    </row>
    <row r="16" spans="1:13" x14ac:dyDescent="0.2">
      <c r="A16" s="27"/>
      <c r="B16" s="53" t="s">
        <v>46</v>
      </c>
      <c r="C16" s="74">
        <v>20</v>
      </c>
      <c r="D16" s="47">
        <v>16.7</v>
      </c>
      <c r="E16" s="43">
        <v>182497</v>
      </c>
      <c r="F16" s="31">
        <v>92598</v>
      </c>
      <c r="G16" s="31">
        <f t="shared" si="1"/>
        <v>89899</v>
      </c>
      <c r="H16" s="30">
        <f t="shared" si="0"/>
        <v>50.739464210370578</v>
      </c>
      <c r="I16" s="42">
        <f t="shared" si="2"/>
        <v>49.260535789629415</v>
      </c>
      <c r="K16" s="78" t="s">
        <v>82</v>
      </c>
      <c r="L16" s="69">
        <v>20.6</v>
      </c>
      <c r="M16" s="46">
        <v>17.3</v>
      </c>
    </row>
    <row r="17" spans="1:13" x14ac:dyDescent="0.2">
      <c r="A17" s="27"/>
      <c r="B17" s="53" t="s">
        <v>47</v>
      </c>
      <c r="C17" s="74">
        <v>19</v>
      </c>
      <c r="D17" s="47">
        <v>19.100000000000001</v>
      </c>
      <c r="E17" s="43">
        <v>170293</v>
      </c>
      <c r="F17" s="31">
        <v>88723</v>
      </c>
      <c r="G17" s="31">
        <f t="shared" si="1"/>
        <v>81570</v>
      </c>
      <c r="H17" s="30">
        <f t="shared" si="0"/>
        <v>52.100203766449596</v>
      </c>
      <c r="I17" s="42">
        <f t="shared" si="2"/>
        <v>47.899796233550411</v>
      </c>
      <c r="K17" s="78" t="s">
        <v>80</v>
      </c>
      <c r="L17" s="69">
        <v>20.6</v>
      </c>
      <c r="M17" s="46">
        <v>19.100000000000001</v>
      </c>
    </row>
    <row r="18" spans="1:13" x14ac:dyDescent="0.2">
      <c r="A18" s="27"/>
      <c r="B18" s="53" t="s">
        <v>48</v>
      </c>
      <c r="C18" s="73">
        <v>17.600000000000001</v>
      </c>
      <c r="D18" s="47">
        <v>18.399999999999999</v>
      </c>
      <c r="E18" s="43">
        <v>163956</v>
      </c>
      <c r="F18" s="31">
        <v>87626</v>
      </c>
      <c r="G18" s="31">
        <f t="shared" si="1"/>
        <v>76330</v>
      </c>
      <c r="H18" s="30">
        <f t="shared" si="0"/>
        <v>53.444826660811437</v>
      </c>
      <c r="I18" s="42">
        <f t="shared" si="2"/>
        <v>46.555173339188563</v>
      </c>
      <c r="K18" s="78" t="s">
        <v>83</v>
      </c>
      <c r="L18" s="69">
        <v>19.399999999999999</v>
      </c>
      <c r="M18" s="46">
        <v>18.5</v>
      </c>
    </row>
    <row r="19" spans="1:13" x14ac:dyDescent="0.2">
      <c r="A19" s="27"/>
      <c r="B19" s="53" t="s">
        <v>49</v>
      </c>
      <c r="C19" s="73">
        <v>14.8</v>
      </c>
      <c r="D19" s="47">
        <v>16.399999999999999</v>
      </c>
      <c r="E19" s="43">
        <v>145246</v>
      </c>
      <c r="F19" s="31">
        <v>81490</v>
      </c>
      <c r="G19" s="31">
        <f t="shared" si="1"/>
        <v>63756</v>
      </c>
      <c r="H19" s="30">
        <f t="shared" si="0"/>
        <v>56.104815278906131</v>
      </c>
      <c r="I19" s="42">
        <f t="shared" si="2"/>
        <v>43.895184721093869</v>
      </c>
      <c r="K19" s="78" t="s">
        <v>84</v>
      </c>
      <c r="L19" s="28">
        <v>18</v>
      </c>
      <c r="M19" s="46">
        <v>16.399999999999999</v>
      </c>
    </row>
    <row r="20" spans="1:13" x14ac:dyDescent="0.2">
      <c r="A20" s="27"/>
      <c r="B20" s="53" t="s">
        <v>50</v>
      </c>
      <c r="C20" s="73">
        <v>11.2</v>
      </c>
      <c r="D20" s="47">
        <v>14.2</v>
      </c>
      <c r="E20" s="43">
        <v>126360</v>
      </c>
      <c r="F20" s="31">
        <v>73127</v>
      </c>
      <c r="G20" s="31">
        <f t="shared" si="1"/>
        <v>53233</v>
      </c>
      <c r="H20" s="30">
        <f t="shared" si="0"/>
        <v>57.871953149730928</v>
      </c>
      <c r="I20" s="42">
        <f t="shared" si="2"/>
        <v>42.128046850269072</v>
      </c>
      <c r="K20" s="78" t="s">
        <v>85</v>
      </c>
      <c r="L20" s="69">
        <v>15.1</v>
      </c>
      <c r="M20" s="46">
        <v>14.2</v>
      </c>
    </row>
    <row r="21" spans="1:13" x14ac:dyDescent="0.2">
      <c r="A21" s="27"/>
      <c r="B21" s="53" t="s">
        <v>51</v>
      </c>
      <c r="C21" s="73">
        <v>9.5</v>
      </c>
      <c r="D21" s="42">
        <v>13</v>
      </c>
      <c r="E21" s="43">
        <v>115567</v>
      </c>
      <c r="F21" s="31">
        <v>64122</v>
      </c>
      <c r="G21" s="31">
        <f t="shared" si="1"/>
        <v>51445</v>
      </c>
      <c r="H21" s="30">
        <f t="shared" si="0"/>
        <v>55.484697188643814</v>
      </c>
      <c r="I21" s="42">
        <f t="shared" si="2"/>
        <v>44.515302811356186</v>
      </c>
      <c r="K21" s="78" t="s">
        <v>86</v>
      </c>
      <c r="L21" s="69">
        <v>11.5</v>
      </c>
      <c r="M21" s="46">
        <v>14.8</v>
      </c>
    </row>
    <row r="22" spans="1:13" x14ac:dyDescent="0.2">
      <c r="A22" s="27"/>
      <c r="B22" s="53" t="s">
        <v>52</v>
      </c>
      <c r="C22" s="73">
        <v>12.1</v>
      </c>
      <c r="D22" s="47">
        <v>15.9</v>
      </c>
      <c r="E22" s="43">
        <v>141944</v>
      </c>
      <c r="F22" s="31">
        <v>71158</v>
      </c>
      <c r="G22" s="31">
        <f t="shared" si="1"/>
        <v>70786</v>
      </c>
      <c r="H22" s="30">
        <f t="shared" si="0"/>
        <v>50.131037592289914</v>
      </c>
      <c r="I22" s="42">
        <f t="shared" si="2"/>
        <v>49.868962407710086</v>
      </c>
      <c r="K22" s="78" t="s">
        <v>87</v>
      </c>
      <c r="L22" s="69">
        <v>10.4</v>
      </c>
      <c r="M22" s="41">
        <v>14</v>
      </c>
    </row>
    <row r="23" spans="1:13" x14ac:dyDescent="0.2">
      <c r="A23" s="27"/>
      <c r="B23" s="53" t="s">
        <v>53</v>
      </c>
      <c r="C23" s="73">
        <v>12.4</v>
      </c>
      <c r="D23" s="47">
        <v>15.4</v>
      </c>
      <c r="E23" s="43">
        <v>142263</v>
      </c>
      <c r="F23" s="31">
        <v>73359</v>
      </c>
      <c r="G23" s="31">
        <f t="shared" si="1"/>
        <v>68904</v>
      </c>
      <c r="H23" s="30">
        <f t="shared" si="0"/>
        <v>51.565762004175362</v>
      </c>
      <c r="I23" s="42">
        <f t="shared" si="2"/>
        <v>48.434237995824638</v>
      </c>
      <c r="K23" s="78" t="s">
        <v>88</v>
      </c>
      <c r="L23" s="69">
        <v>12.9</v>
      </c>
      <c r="M23" s="46">
        <v>16.7</v>
      </c>
    </row>
    <row r="24" spans="1:13" x14ac:dyDescent="0.2">
      <c r="A24" s="27"/>
      <c r="B24" s="51" t="s">
        <v>54</v>
      </c>
      <c r="C24" s="71">
        <v>12.5</v>
      </c>
      <c r="D24" s="46">
        <v>15.5</v>
      </c>
      <c r="E24" s="40">
        <v>146208</v>
      </c>
      <c r="F24" s="29">
        <v>77403</v>
      </c>
      <c r="G24" s="29">
        <f t="shared" si="1"/>
        <v>68805</v>
      </c>
      <c r="H24" s="28">
        <f t="shared" si="0"/>
        <v>52.940331582403154</v>
      </c>
      <c r="I24" s="41">
        <f t="shared" si="2"/>
        <v>47.059668417596853</v>
      </c>
      <c r="K24" s="78" t="s">
        <v>89</v>
      </c>
      <c r="L24" s="69">
        <v>13.1</v>
      </c>
      <c r="M24" s="41">
        <v>16</v>
      </c>
    </row>
    <row r="25" spans="1:13" x14ac:dyDescent="0.2">
      <c r="A25" s="27"/>
      <c r="B25" s="51" t="s">
        <v>55</v>
      </c>
      <c r="C25" s="71">
        <v>13.4</v>
      </c>
      <c r="D25" s="46">
        <v>16.399999999999999</v>
      </c>
      <c r="E25" s="40">
        <v>153807</v>
      </c>
      <c r="F25" s="29">
        <v>77880</v>
      </c>
      <c r="G25" s="29">
        <f t="shared" si="1"/>
        <v>75927</v>
      </c>
      <c r="H25" s="28">
        <f t="shared" si="0"/>
        <v>50.634886578634266</v>
      </c>
      <c r="I25" s="41">
        <f t="shared" si="2"/>
        <v>49.365113421365734</v>
      </c>
      <c r="K25" s="78" t="s">
        <v>90</v>
      </c>
      <c r="L25" s="69">
        <v>13.2</v>
      </c>
      <c r="M25" s="46">
        <v>16.2</v>
      </c>
    </row>
    <row r="26" spans="1:13" x14ac:dyDescent="0.2">
      <c r="A26" s="27"/>
      <c r="B26" s="51" t="s">
        <v>56</v>
      </c>
      <c r="C26" s="71">
        <v>13.4</v>
      </c>
      <c r="D26" s="46">
        <v>16.3</v>
      </c>
      <c r="E26" s="40">
        <v>154216</v>
      </c>
      <c r="F26" s="29">
        <v>77415</v>
      </c>
      <c r="G26" s="29">
        <f t="shared" si="1"/>
        <v>76801</v>
      </c>
      <c r="H26" s="28">
        <f t="shared" si="0"/>
        <v>50.19907143227681</v>
      </c>
      <c r="I26" s="41">
        <f t="shared" si="2"/>
        <v>49.800928567723197</v>
      </c>
      <c r="K26" s="78" t="s">
        <v>91</v>
      </c>
      <c r="L26" s="69">
        <v>14.2</v>
      </c>
      <c r="M26" s="46">
        <v>16.3</v>
      </c>
    </row>
    <row r="27" spans="1:13" x14ac:dyDescent="0.2">
      <c r="A27" s="27"/>
      <c r="B27" s="51" t="s">
        <v>57</v>
      </c>
      <c r="C27" s="71">
        <v>11.4</v>
      </c>
      <c r="D27" s="46">
        <v>14.6</v>
      </c>
      <c r="E27" s="40">
        <v>137932</v>
      </c>
      <c r="F27" s="29">
        <v>70305</v>
      </c>
      <c r="G27" s="29">
        <f t="shared" si="1"/>
        <v>67627</v>
      </c>
      <c r="H27" s="28">
        <f t="shared" si="0"/>
        <v>50.970768204622566</v>
      </c>
      <c r="I27" s="41">
        <f t="shared" si="2"/>
        <v>49.029231795377434</v>
      </c>
      <c r="K27" s="78" t="s">
        <v>92</v>
      </c>
      <c r="L27" s="69">
        <v>13.9</v>
      </c>
      <c r="M27" s="46">
        <v>14.8</v>
      </c>
    </row>
    <row r="28" spans="1:13" x14ac:dyDescent="0.2">
      <c r="A28" s="27"/>
      <c r="B28" s="51" t="s">
        <v>58</v>
      </c>
      <c r="C28" s="71">
        <v>9.6999999999999993</v>
      </c>
      <c r="D28" s="46">
        <v>13.2</v>
      </c>
      <c r="E28" s="43">
        <v>123514</v>
      </c>
      <c r="F28" s="31">
        <v>63579</v>
      </c>
      <c r="G28" s="31">
        <f t="shared" si="1"/>
        <v>59935</v>
      </c>
      <c r="H28" s="32">
        <f t="shared" si="0"/>
        <v>51.475136421782139</v>
      </c>
      <c r="I28" s="44">
        <f>SUM(E28-F28)/E28*100</f>
        <v>48.524863578217854</v>
      </c>
      <c r="K28" s="78" t="s">
        <v>93</v>
      </c>
      <c r="L28" s="28">
        <v>12</v>
      </c>
      <c r="M28" s="46">
        <v>15.2</v>
      </c>
    </row>
    <row r="29" spans="1:13" x14ac:dyDescent="0.2">
      <c r="A29" s="27"/>
      <c r="B29" s="51" t="s">
        <v>59</v>
      </c>
      <c r="C29" s="71">
        <v>8.1999999999999993</v>
      </c>
      <c r="D29" s="46">
        <v>11.5</v>
      </c>
      <c r="E29" s="43">
        <v>107567</v>
      </c>
      <c r="F29" s="31">
        <v>56384</v>
      </c>
      <c r="G29" s="31">
        <f>SUM(E29-F29)</f>
        <v>51183</v>
      </c>
      <c r="H29" s="32">
        <f t="shared" si="0"/>
        <v>52.417563007241995</v>
      </c>
      <c r="I29" s="44">
        <f t="shared" ref="I29:I35" si="3">SUM(E29-F29)/E29*100</f>
        <v>47.582436992758005</v>
      </c>
      <c r="K29" s="78" t="s">
        <v>94</v>
      </c>
      <c r="L29" s="28">
        <v>8.3000000000000007</v>
      </c>
      <c r="M29" s="46">
        <v>11.6</v>
      </c>
    </row>
    <row r="30" spans="1:13" x14ac:dyDescent="0.2">
      <c r="A30" s="27"/>
      <c r="B30" s="51" t="s">
        <v>60</v>
      </c>
      <c r="C30" s="71">
        <v>6.6</v>
      </c>
      <c r="D30" s="46">
        <v>9.6</v>
      </c>
      <c r="E30" s="43">
        <v>90972</v>
      </c>
      <c r="F30" s="31">
        <v>48619</v>
      </c>
      <c r="G30" s="31">
        <f t="shared" si="1"/>
        <v>42353</v>
      </c>
      <c r="H30" s="32">
        <f t="shared" si="0"/>
        <v>53.443916809567781</v>
      </c>
      <c r="I30" s="44">
        <f t="shared" si="3"/>
        <v>46.556083190432226</v>
      </c>
      <c r="K30" s="78" t="s">
        <v>95</v>
      </c>
      <c r="L30" s="69">
        <v>8.5</v>
      </c>
      <c r="M30" s="46">
        <v>11.8</v>
      </c>
    </row>
    <row r="31" spans="1:13" x14ac:dyDescent="0.2">
      <c r="A31" s="27"/>
      <c r="B31" s="51" t="s">
        <v>61</v>
      </c>
      <c r="C31" s="71">
        <v>5.8</v>
      </c>
      <c r="D31" s="46">
        <v>8.6999999999999993</v>
      </c>
      <c r="E31" s="43">
        <v>82933</v>
      </c>
      <c r="F31" s="31">
        <v>45024</v>
      </c>
      <c r="G31" s="31">
        <f t="shared" si="1"/>
        <v>37909</v>
      </c>
      <c r="H31" s="32">
        <f t="shared" si="0"/>
        <v>54.289607273341133</v>
      </c>
      <c r="I31" s="44">
        <f t="shared" si="3"/>
        <v>45.710392726658874</v>
      </c>
      <c r="K31" s="78" t="s">
        <v>96</v>
      </c>
      <c r="L31" s="69">
        <v>6.8</v>
      </c>
      <c r="M31" s="46">
        <v>9.9</v>
      </c>
    </row>
    <row r="32" spans="1:13" x14ac:dyDescent="0.2">
      <c r="A32" s="27"/>
      <c r="B32" s="51" t="s">
        <v>62</v>
      </c>
      <c r="C32" s="71">
        <v>5.2</v>
      </c>
      <c r="D32" s="46">
        <v>7.9</v>
      </c>
      <c r="E32" s="43">
        <v>75455</v>
      </c>
      <c r="F32" s="31">
        <v>40284</v>
      </c>
      <c r="G32" s="31">
        <f t="shared" si="1"/>
        <v>35171</v>
      </c>
      <c r="H32" s="32">
        <f t="shared" si="0"/>
        <v>53.388112119806507</v>
      </c>
      <c r="I32" s="44">
        <f t="shared" si="3"/>
        <v>46.611887880193493</v>
      </c>
      <c r="K32" s="78" t="s">
        <v>97</v>
      </c>
      <c r="L32" s="69">
        <v>6.1</v>
      </c>
      <c r="M32" s="41">
        <v>9</v>
      </c>
    </row>
    <row r="33" spans="1:13" x14ac:dyDescent="0.2">
      <c r="A33" s="27"/>
      <c r="B33" s="51" t="s">
        <v>63</v>
      </c>
      <c r="C33" s="71">
        <v>6.3</v>
      </c>
      <c r="D33" s="46">
        <v>9.1</v>
      </c>
      <c r="E33" s="43">
        <v>87326</v>
      </c>
      <c r="F33" s="31">
        <v>46036</v>
      </c>
      <c r="G33" s="31">
        <f t="shared" si="1"/>
        <v>41290</v>
      </c>
      <c r="H33" s="32">
        <f t="shared" si="0"/>
        <v>52.717403751460047</v>
      </c>
      <c r="I33" s="44">
        <f t="shared" si="3"/>
        <v>47.282596248539953</v>
      </c>
      <c r="K33" s="78" t="s">
        <v>98</v>
      </c>
      <c r="L33" s="69">
        <v>5.5</v>
      </c>
      <c r="M33" s="46">
        <v>8.3000000000000007</v>
      </c>
    </row>
    <row r="34" spans="1:13" x14ac:dyDescent="0.2">
      <c r="A34" s="27"/>
      <c r="B34" s="51" t="s">
        <v>64</v>
      </c>
      <c r="C34" s="71">
        <v>5.8</v>
      </c>
      <c r="D34" s="46">
        <v>9.9</v>
      </c>
      <c r="E34" s="43">
        <v>77291</v>
      </c>
      <c r="F34" s="31">
        <v>41090</v>
      </c>
      <c r="G34" s="31">
        <f t="shared" si="1"/>
        <v>36201</v>
      </c>
      <c r="H34" s="32">
        <f t="shared" si="0"/>
        <v>53.16272269733863</v>
      </c>
      <c r="I34" s="44">
        <f t="shared" si="3"/>
        <v>46.83727730266137</v>
      </c>
      <c r="K34" s="78" t="s">
        <v>99</v>
      </c>
      <c r="L34" s="69">
        <v>6.5</v>
      </c>
      <c r="M34" s="46">
        <v>9.5</v>
      </c>
    </row>
    <row r="35" spans="1:13" x14ac:dyDescent="0.2">
      <c r="A35" s="27"/>
      <c r="B35" s="51" t="s">
        <v>65</v>
      </c>
      <c r="C35" s="71">
        <v>5.2</v>
      </c>
      <c r="D35" s="46">
        <v>8.8000000000000007</v>
      </c>
      <c r="E35" s="43">
        <v>69046</v>
      </c>
      <c r="F35" s="31">
        <v>36088</v>
      </c>
      <c r="G35" s="31">
        <f t="shared" si="1"/>
        <v>32958</v>
      </c>
      <c r="H35" s="32">
        <f t="shared" si="0"/>
        <v>52.266604872114243</v>
      </c>
      <c r="I35" s="44">
        <f t="shared" si="3"/>
        <v>47.733395127885757</v>
      </c>
      <c r="K35" s="78" t="s">
        <v>100</v>
      </c>
      <c r="L35" s="69">
        <v>5.9</v>
      </c>
      <c r="M35" s="46">
        <v>10.1</v>
      </c>
    </row>
    <row r="36" spans="1:13" x14ac:dyDescent="0.2">
      <c r="A36" s="27"/>
      <c r="B36" s="51" t="s">
        <v>66</v>
      </c>
      <c r="C36" s="72">
        <v>5.0999999999999996</v>
      </c>
      <c r="D36" s="46">
        <v>8.6</v>
      </c>
      <c r="E36" s="43">
        <v>67653</v>
      </c>
      <c r="F36" s="31">
        <v>41090</v>
      </c>
      <c r="G36" s="31">
        <f t="shared" si="1"/>
        <v>26563</v>
      </c>
      <c r="H36" s="32">
        <f t="shared" si="0"/>
        <v>60.736404889657514</v>
      </c>
      <c r="I36" s="44">
        <f>SUM(E36-F36)/E36*100</f>
        <v>39.263595110342479</v>
      </c>
      <c r="K36" s="78" t="s">
        <v>101</v>
      </c>
      <c r="L36" s="69">
        <v>5.5</v>
      </c>
      <c r="M36" s="46">
        <v>9.1999999999999993</v>
      </c>
    </row>
    <row r="37" spans="1:13" x14ac:dyDescent="0.2">
      <c r="B37" s="63" t="s">
        <v>67</v>
      </c>
      <c r="C37" s="75">
        <v>5.0999999999999996</v>
      </c>
      <c r="D37" s="64">
        <v>8.6999999999999993</v>
      </c>
      <c r="E37" s="65">
        <v>67336</v>
      </c>
      <c r="F37" s="66">
        <v>33994</v>
      </c>
      <c r="G37" s="66">
        <f>SUM(E37-F37)</f>
        <v>33342</v>
      </c>
      <c r="H37" s="67">
        <f t="shared" si="0"/>
        <v>50.484139242010215</v>
      </c>
      <c r="I37" s="68">
        <f>SUM(E37-F37)/E37*100</f>
        <v>49.515860757989785</v>
      </c>
      <c r="K37" s="79" t="s">
        <v>102</v>
      </c>
      <c r="L37" s="80">
        <v>5.4</v>
      </c>
      <c r="M37" s="68">
        <v>9</v>
      </c>
    </row>
    <row r="38" spans="1:13" ht="12.75" thickBot="1" x14ac:dyDescent="0.25">
      <c r="B38" s="52" t="s">
        <v>105</v>
      </c>
      <c r="C38" s="76">
        <v>5.7</v>
      </c>
      <c r="D38" s="45">
        <v>9.3000000000000007</v>
      </c>
      <c r="E38" s="61">
        <v>72059</v>
      </c>
      <c r="F38" s="62">
        <v>35372</v>
      </c>
      <c r="G38" s="62">
        <f>SUM(E38-F38)</f>
        <v>36687</v>
      </c>
      <c r="H38" s="59">
        <f t="shared" si="0"/>
        <v>49.087553254971624</v>
      </c>
      <c r="I38" s="49">
        <f>SUM(E38-F38)/E38*100</f>
        <v>50.912446745028383</v>
      </c>
      <c r="K38" s="81" t="s">
        <v>107</v>
      </c>
      <c r="L38" s="77">
        <v>5.4</v>
      </c>
      <c r="M38" s="49">
        <v>9.1</v>
      </c>
    </row>
    <row r="39" spans="1:13" x14ac:dyDescent="0.2">
      <c r="B39" s="26" t="s">
        <v>104</v>
      </c>
    </row>
    <row r="41" spans="1:13" x14ac:dyDescent="0.2">
      <c r="F41" s="54"/>
    </row>
    <row r="47" spans="1:13" x14ac:dyDescent="0.2">
      <c r="I47" s="60"/>
    </row>
  </sheetData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b.Pol</vt:lpstr>
      <vt:lpstr>1sort</vt:lpstr>
      <vt:lpstr>1998-2024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Piotr Kocaj</dc:creator>
  <cp:keywords>Zbiorcze zestawienia statystyczna, prawa autorskie Piotr Kocaj</cp:keywords>
  <cp:lastModifiedBy>Bartosz Kostecki</cp:lastModifiedBy>
  <cp:lastPrinted>2025-07-28T05:47:09Z</cp:lastPrinted>
  <dcterms:created xsi:type="dcterms:W3CDTF">2016-08-02T05:46:03Z</dcterms:created>
  <dcterms:modified xsi:type="dcterms:W3CDTF">2026-03-04T10:39:24Z</dcterms:modified>
</cp:coreProperties>
</file>