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D04BEB5C-F939-4DF4-80E7-560301C92DB2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3" l="1"/>
  <c r="C28" i="4"/>
  <c r="C24" i="2"/>
  <c r="E31" i="28"/>
  <c r="F28" i="10"/>
  <c r="C28" i="10"/>
  <c r="D29" i="26"/>
  <c r="E3" i="1"/>
  <c r="D31" i="28"/>
  <c r="D29" i="11"/>
  <c r="H3" i="27"/>
  <c r="G3" i="27"/>
  <c r="F3" i="27"/>
  <c r="E3" i="27"/>
  <c r="D3" i="27"/>
  <c r="C28" i="6"/>
  <c r="D28" i="6"/>
  <c r="C29" i="11"/>
  <c r="M31" i="28" l="1"/>
  <c r="E27" i="1"/>
  <c r="F27" i="1" s="1"/>
  <c r="N24" i="28" l="1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3" i="27"/>
  <c r="F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E29" i="26" l="1"/>
  <c r="AF17" i="28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3" i="1"/>
  <c r="C28" i="1" l="1"/>
  <c r="H28" i="3" s="1"/>
  <c r="E28" i="1" l="1"/>
  <c r="H28" i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F28" i="1" l="1"/>
  <c r="Z4" i="14" s="1"/>
  <c r="V4" i="14"/>
  <c r="Z13" i="14"/>
  <c r="Z27" i="14"/>
  <c r="Z11" i="14"/>
  <c r="Z10" i="14"/>
  <c r="Z28" i="14"/>
  <c r="Z14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Z8" i="14" l="1"/>
  <c r="Z23" i="14"/>
  <c r="Z17" i="14"/>
  <c r="Z6" i="14"/>
  <c r="Z21" i="14"/>
  <c r="Z18" i="14"/>
  <c r="Z12" i="14"/>
  <c r="Z16" i="14"/>
  <c r="Z25" i="14"/>
  <c r="Z26" i="14"/>
  <c r="Z20" i="14"/>
  <c r="Z5" i="14"/>
  <c r="Z7" i="14"/>
  <c r="Z22" i="14"/>
  <c r="Z29" i="14"/>
  <c r="Z15" i="14"/>
  <c r="Z9" i="14"/>
  <c r="Z19" i="14"/>
  <c r="Z24" i="14"/>
  <c r="C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J30" i="14"/>
  <c r="AF30" i="14"/>
  <c r="F11" i="14"/>
  <c r="D4" i="14"/>
  <c r="D5" i="14"/>
  <c r="C5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AA4" i="14" l="1"/>
  <c r="AB4" i="14"/>
  <c r="AA19" i="14"/>
  <c r="AA26" i="14"/>
  <c r="AA20" i="14"/>
  <c r="AA17" i="14"/>
  <c r="AA27" i="14"/>
  <c r="AB10" i="14"/>
  <c r="AB22" i="14"/>
  <c r="AA12" i="14"/>
  <c r="AB26" i="14"/>
  <c r="AB14" i="14"/>
  <c r="AB25" i="14"/>
  <c r="AB11" i="14"/>
  <c r="AB9" i="14"/>
  <c r="AA8" i="14"/>
  <c r="AB13" i="14"/>
  <c r="AB7" i="14"/>
  <c r="AA21" i="14"/>
  <c r="AA22" i="14"/>
  <c r="AB23" i="14"/>
  <c r="AA24" i="14"/>
  <c r="AA15" i="14"/>
  <c r="AB6" i="14"/>
  <c r="AB21" i="14"/>
  <c r="AB20" i="14"/>
  <c r="AB8" i="14"/>
  <c r="AA23" i="14"/>
  <c r="AB19" i="14"/>
  <c r="AB27" i="14"/>
  <c r="AA11" i="14"/>
  <c r="AB5" i="14"/>
  <c r="AB17" i="14"/>
  <c r="AA18" i="14"/>
  <c r="AB29" i="14"/>
  <c r="AA5" i="14"/>
  <c r="AB16" i="14"/>
  <c r="AA25" i="14"/>
  <c r="AA7" i="14"/>
  <c r="AA28" i="14"/>
  <c r="AB15" i="14"/>
  <c r="AA9" i="14"/>
  <c r="AB24" i="14"/>
  <c r="AA14" i="14"/>
  <c r="AB12" i="14"/>
  <c r="AA16" i="14"/>
  <c r="AA13" i="14"/>
  <c r="AA10" i="14"/>
  <c r="AA29" i="14"/>
  <c r="AA6" i="14"/>
  <c r="AB18" i="14"/>
  <c r="AB28" i="14"/>
  <c r="G27" i="10" l="1"/>
  <c r="G10" i="2" l="1"/>
  <c r="E27" i="10" l="1"/>
  <c r="F28" i="6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W4" i="14" l="1"/>
  <c r="X29" i="14"/>
  <c r="X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X31" i="14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X32" i="14" l="1"/>
  <c r="C19" i="15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4" i="21" l="1"/>
  <c r="F24" i="19"/>
  <c r="H24" i="19"/>
  <c r="E28" i="6"/>
  <c r="E29" i="6" s="1"/>
  <c r="H24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F5" i="21" s="1"/>
  <c r="G28" i="5"/>
  <c r="H5" i="21" s="1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<sst xmlns="http://schemas.openxmlformats.org/spreadsheetml/2006/main" count="445" uniqueCount="106">
  <si>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</si>
  <si>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</si>
  <si>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</si>
  <si>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</si>
  <si>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</si>
  <si>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</si>
  <si>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</si>
  <si>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</si>
  <si>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</si>
  <si>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</si>
  <si>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</si>
  <si>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</si>
  <si>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</si>
  <si>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</si>
  <si>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</si>
  <si>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</si>
  <si>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</si>
  <si>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</si>
  <si>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</si>
  <si>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</si>
  <si>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</si>
  <si>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</si>
  <si>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</si>
  <si>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</si>
  <si>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</si>
  <si>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</si>
  <si>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</si>
  <si>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</si>
  <si>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</si>
  <si>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</si>
  <si>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</si>
  <si>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</si>
  <si>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</si>
  <si>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</si>
  <si>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</si>
  <si>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</si>
  <si>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</si>
  <si>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</si>
  <si>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</si>
  <si>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</si>
  <si>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</si>
  <si>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</si>
  <si>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</si>
  <si>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</si>
  <si>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</si>
  <si>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</si>
  <si>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</si>
  <si>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</si>
  <si>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</si>
  <si>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</si>
  <si>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</si>
  <si>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</si>
  <si>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</si>
  <si>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</si>
  <si>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</si>
  <si>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</si>
  <si>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</si>
  <si>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</si>
  <si>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</si>
  <si>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</si>
  <si>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</si>
  <si>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</si>
  <si>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</si>
  <si>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</si>
  <si>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</si>
  <si>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</si>
  <si>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</si>
  <si>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</si>
  <si>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</si>
  <si>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</si>
  <si>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</si>
  <si>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</si>
  <si>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</si>
  <si>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stan na 31-12-2025</t>
  </si>
  <si>
    <t>liczba bezrobotnych kobiet stan na 30-04-'26 r.</t>
  </si>
  <si>
    <t>liczba ofert w 04-'26 r.</t>
  </si>
  <si>
    <t>liczba ofert 30-04-'26 r.</t>
  </si>
  <si>
    <t>stan na 31-05-2025</t>
  </si>
  <si>
    <t>stan na 31-05-2026</t>
  </si>
  <si>
    <t>staże I-V 2025</t>
  </si>
  <si>
    <t>staże I-V 2026</t>
  </si>
  <si>
    <t>praca subs. I-V 2025</t>
  </si>
  <si>
    <t>praca subs. I-V 2026</t>
  </si>
  <si>
    <t>podjecia pracy niesubs. I-V 2025</t>
  </si>
  <si>
    <t>podjecia pracy niesubs. I-V 2026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</si>
  <si>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31-05-'26 r.</t>
    </r>
  </si>
  <si>
    <t>liczba bezrobotnych ogółem stan na 30-04-'26 r.</t>
  </si>
  <si>
    <t>liczba bezrobotnych ogółem stan na 31-05-'25 r.</t>
  </si>
  <si>
    <t>liczba bezrobotnych kobiet stan na 31-05-'26 r.</t>
  </si>
  <si>
    <t>liczba bezrobotnych kobiet stan na 31-05-'25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</si>
  <si>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31-05-'26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</si>
  <si>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-05-'25 r.</t>
    </r>
  </si>
  <si>
    <t>liczba bezrobotnych zam. na wsi stan na 30-04-'26 r.</t>
  </si>
  <si>
    <r>
      <t>liczba bezrobotnych pow. 12 m-cy stan na 31</t>
    </r>
    <r>
      <rPr>
        <sz val="12"/>
        <color theme="1"/>
        <rFont val="Arial"/>
        <family val="2"/>
        <charset val="238"/>
      </rPr>
      <t>-05-'26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</si>
  <si>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31-05-'25 r.</t>
    </r>
  </si>
  <si>
    <t>liczba bezrobotnych pow. 12 m-cy stan na 30-04-'26 r.</t>
  </si>
  <si>
    <r>
      <t>liczba bezrobotnych do 30 r. ż. stan na 31</t>
    </r>
    <r>
      <rPr>
        <sz val="12"/>
        <color theme="1"/>
        <rFont val="Arial"/>
        <family val="2"/>
        <charset val="238"/>
      </rPr>
      <t>-05-'26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</si>
  <si>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-05-'25 r.</t>
    </r>
  </si>
  <si>
    <t>liczba bezrobotnych do 30 r. ż. stan na 30-04-'26 r.</t>
  </si>
  <si>
    <r>
      <t>liczba bezrobotnych 50+ stan na 31</t>
    </r>
    <r>
      <rPr>
        <sz val="12"/>
        <color theme="1"/>
        <rFont val="Arial"/>
        <family val="2"/>
        <charset val="238"/>
      </rPr>
      <t>-05-'26 r.</t>
    </r>
  </si>
  <si>
    <r>
      <t>liczba bezrobotnych 50+ stan na 31</t>
    </r>
    <r>
      <rPr>
        <sz val="12"/>
        <color theme="1"/>
        <rFont val="Arial"/>
        <family val="2"/>
        <charset val="238"/>
      </rPr>
      <t>-05-'25 r.</t>
    </r>
  </si>
  <si>
    <t>liczba bezrobotnych 50+ stan na 30-04-'26 r.</t>
  </si>
  <si>
    <t>liczba ofert w 05-'26 r.</t>
  </si>
  <si>
    <t>liczba ofert w 05-'25 r.</t>
  </si>
  <si>
    <t>liczba ofert 31-05-'26 r.</t>
  </si>
  <si>
    <t>liczba ofert 31-05-'25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</si>
</sst>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Webdings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8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2" fillId="6" borderId="4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17" fillId="0" borderId="0" xfId="0" applyFont="1"/>
    <xf numFmtId="3" fontId="9" fillId="2" borderId="11" xfId="0" applyNumberFormat="1" applyFont="1" applyFill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EF1E6"/>
      <color rgb="FFFFFFFF"/>
      <color rgb="FFFEF4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dębicki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strzyżowski</c:v>
                </c:pt>
                <c:pt idx="17">
                  <c:v>sanocki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1017</c:v>
                </c:pt>
                <c:pt idx="1">
                  <c:v>1086</c:v>
                </c:pt>
                <c:pt idx="2">
                  <c:v>1189</c:v>
                </c:pt>
                <c:pt idx="3">
                  <c:v>1390</c:v>
                </c:pt>
                <c:pt idx="4">
                  <c:v>1590</c:v>
                </c:pt>
                <c:pt idx="5">
                  <c:v>1645</c:v>
                </c:pt>
                <c:pt idx="6">
                  <c:v>1676</c:v>
                </c:pt>
                <c:pt idx="7">
                  <c:v>2404</c:v>
                </c:pt>
                <c:pt idx="8">
                  <c:v>2495</c:v>
                </c:pt>
                <c:pt idx="9">
                  <c:v>2568</c:v>
                </c:pt>
                <c:pt idx="10">
                  <c:v>2637</c:v>
                </c:pt>
                <c:pt idx="11">
                  <c:v>2784</c:v>
                </c:pt>
                <c:pt idx="12">
                  <c:v>2882</c:v>
                </c:pt>
                <c:pt idx="13">
                  <c:v>2928</c:v>
                </c:pt>
                <c:pt idx="14">
                  <c:v>2964</c:v>
                </c:pt>
                <c:pt idx="15">
                  <c:v>3006</c:v>
                </c:pt>
                <c:pt idx="16">
                  <c:v>3008</c:v>
                </c:pt>
                <c:pt idx="17">
                  <c:v>3019</c:v>
                </c:pt>
                <c:pt idx="18">
                  <c:v>3396</c:v>
                </c:pt>
                <c:pt idx="19">
                  <c:v>3429</c:v>
                </c:pt>
                <c:pt idx="20">
                  <c:v>3471</c:v>
                </c:pt>
                <c:pt idx="21">
                  <c:v>4694</c:v>
                </c:pt>
                <c:pt idx="22">
                  <c:v>4771</c:v>
                </c:pt>
                <c:pt idx="23">
                  <c:v>5207</c:v>
                </c:pt>
                <c:pt idx="24">
                  <c:v>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leski</c:v>
                </c:pt>
                <c:pt idx="1">
                  <c:v>bieszczadzki</c:v>
                </c:pt>
                <c:pt idx="2">
                  <c:v>brzozowski</c:v>
                </c:pt>
                <c:pt idx="3">
                  <c:v>przemyski</c:v>
                </c:pt>
                <c:pt idx="4">
                  <c:v>strzyżowski</c:v>
                </c:pt>
                <c:pt idx="5">
                  <c:v>krośnieński</c:v>
                </c:pt>
                <c:pt idx="6">
                  <c:v>leżajski</c:v>
                </c:pt>
                <c:pt idx="7">
                  <c:v>sanocki</c:v>
                </c:pt>
                <c:pt idx="8">
                  <c:v>jarosławski</c:v>
                </c:pt>
                <c:pt idx="9">
                  <c:v>lubaczowski</c:v>
                </c:pt>
                <c:pt idx="10">
                  <c:v>Tarnobrzeg</c:v>
                </c:pt>
                <c:pt idx="11">
                  <c:v>łańcucki</c:v>
                </c:pt>
                <c:pt idx="12">
                  <c:v>Przemyśl</c:v>
                </c:pt>
                <c:pt idx="13">
                  <c:v>ropczycko-sędziszowski</c:v>
                </c:pt>
                <c:pt idx="14">
                  <c:v>kolbuszowski</c:v>
                </c:pt>
                <c:pt idx="15">
                  <c:v>przeworski</c:v>
                </c:pt>
                <c:pt idx="16">
                  <c:v>Krosno</c:v>
                </c:pt>
                <c:pt idx="17">
                  <c:v>rzeszowski</c:v>
                </c:pt>
                <c:pt idx="18">
                  <c:v>jasielski</c:v>
                </c:pt>
                <c:pt idx="19">
                  <c:v>niżański</c:v>
                </c:pt>
                <c:pt idx="20">
                  <c:v>stalowowolski</c:v>
                </c:pt>
                <c:pt idx="21">
                  <c:v>dębicki</c:v>
                </c:pt>
                <c:pt idx="22">
                  <c:v>tarnobrzeski 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20</c:v>
                </c:pt>
                <c:pt idx="6">
                  <c:v>34</c:v>
                </c:pt>
                <c:pt idx="7">
                  <c:v>35</c:v>
                </c:pt>
                <c:pt idx="8">
                  <c:v>39</c:v>
                </c:pt>
                <c:pt idx="9">
                  <c:v>40</c:v>
                </c:pt>
                <c:pt idx="10">
                  <c:v>46</c:v>
                </c:pt>
                <c:pt idx="11">
                  <c:v>49</c:v>
                </c:pt>
                <c:pt idx="12">
                  <c:v>54</c:v>
                </c:pt>
                <c:pt idx="13">
                  <c:v>59</c:v>
                </c:pt>
                <c:pt idx="14">
                  <c:v>63</c:v>
                </c:pt>
                <c:pt idx="15">
                  <c:v>72</c:v>
                </c:pt>
                <c:pt idx="16">
                  <c:v>73</c:v>
                </c:pt>
                <c:pt idx="17">
                  <c:v>76</c:v>
                </c:pt>
                <c:pt idx="18">
                  <c:v>81</c:v>
                </c:pt>
                <c:pt idx="19">
                  <c:v>101</c:v>
                </c:pt>
                <c:pt idx="20">
                  <c:v>104</c:v>
                </c:pt>
                <c:pt idx="21">
                  <c:v>118</c:v>
                </c:pt>
                <c:pt idx="22">
                  <c:v>128</c:v>
                </c:pt>
                <c:pt idx="23">
                  <c:v>203</c:v>
                </c:pt>
                <c:pt idx="24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leski</c:v>
                </c:pt>
                <c:pt idx="1">
                  <c:v>stalowowolski</c:v>
                </c:pt>
                <c:pt idx="2">
                  <c:v>sanocki</c:v>
                </c:pt>
                <c:pt idx="3">
                  <c:v>jarosławski</c:v>
                </c:pt>
                <c:pt idx="4">
                  <c:v>rzeszowski</c:v>
                </c:pt>
                <c:pt idx="5">
                  <c:v>lubaczowski</c:v>
                </c:pt>
                <c:pt idx="6">
                  <c:v>bieszczadzki</c:v>
                </c:pt>
                <c:pt idx="7">
                  <c:v>leżajski</c:v>
                </c:pt>
                <c:pt idx="8">
                  <c:v>tarnobrzeski </c:v>
                </c:pt>
                <c:pt idx="9">
                  <c:v>Krosno</c:v>
                </c:pt>
                <c:pt idx="10">
                  <c:v>województwo</c:v>
                </c:pt>
                <c:pt idx="11">
                  <c:v>strzyżowski</c:v>
                </c:pt>
                <c:pt idx="12">
                  <c:v>niżański</c:v>
                </c:pt>
                <c:pt idx="13">
                  <c:v>brzozowski</c:v>
                </c:pt>
                <c:pt idx="14">
                  <c:v>Rzeszów</c:v>
                </c:pt>
                <c:pt idx="15">
                  <c:v>krośnieński</c:v>
                </c:pt>
                <c:pt idx="16">
                  <c:v>ropczycko-sędziszowski</c:v>
                </c:pt>
                <c:pt idx="17">
                  <c:v>dębicki</c:v>
                </c:pt>
                <c:pt idx="18">
                  <c:v>mielecki</c:v>
                </c:pt>
                <c:pt idx="19">
                  <c:v>Tarnobrzeg</c:v>
                </c:pt>
                <c:pt idx="20">
                  <c:v>łańcucki</c:v>
                </c:pt>
                <c:pt idx="21">
                  <c:v>jasielski</c:v>
                </c:pt>
                <c:pt idx="22">
                  <c:v>przeworski</c:v>
                </c:pt>
                <c:pt idx="23">
                  <c:v>kolbuszowski</c:v>
                </c:pt>
                <c:pt idx="24">
                  <c:v>przemyski</c:v>
                </c:pt>
                <c:pt idx="25">
                  <c:v>Przemyśl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-6.6901408450704221</c:v>
                </c:pt>
                <c:pt idx="1">
                  <c:v>-4.9426650850138394</c:v>
                </c:pt>
                <c:pt idx="2">
                  <c:v>-3.7001594896331738</c:v>
                </c:pt>
                <c:pt idx="3">
                  <c:v>-3.5941671801191211</c:v>
                </c:pt>
                <c:pt idx="4">
                  <c:v>-3.5577117444916109</c:v>
                </c:pt>
                <c:pt idx="5">
                  <c:v>-3.5118019573978123</c:v>
                </c:pt>
                <c:pt idx="6">
                  <c:v>-3.3807829181494666</c:v>
                </c:pt>
                <c:pt idx="7">
                  <c:v>-3.1105228325612178</c:v>
                </c:pt>
                <c:pt idx="8">
                  <c:v>-2.5928521373510862</c:v>
                </c:pt>
                <c:pt idx="9">
                  <c:v>-2.5862068965517242</c:v>
                </c:pt>
                <c:pt idx="10">
                  <c:v>-2.4725918775425777</c:v>
                </c:pt>
                <c:pt idx="11">
                  <c:v>-2.2106631989596877</c:v>
                </c:pt>
                <c:pt idx="12">
                  <c:v>-2.2104915869350048</c:v>
                </c:pt>
                <c:pt idx="13">
                  <c:v>-2.1124750214102197</c:v>
                </c:pt>
                <c:pt idx="14">
                  <c:v>-2.043010752688172</c:v>
                </c:pt>
                <c:pt idx="15">
                  <c:v>-2.0416175893207695</c:v>
                </c:pt>
                <c:pt idx="16">
                  <c:v>-1.971830985915493</c:v>
                </c:pt>
                <c:pt idx="17">
                  <c:v>-1.9394351820347058</c:v>
                </c:pt>
                <c:pt idx="18">
                  <c:v>-1.7361111111111112</c:v>
                </c:pt>
                <c:pt idx="19">
                  <c:v>-1.7355371900826446</c:v>
                </c:pt>
                <c:pt idx="20">
                  <c:v>-1.530993278566094</c:v>
                </c:pt>
                <c:pt idx="21">
                  <c:v>-1.4572293716881151</c:v>
                </c:pt>
                <c:pt idx="22">
                  <c:v>-1.4480408858603067</c:v>
                </c:pt>
                <c:pt idx="23">
                  <c:v>-1.4379868184541642</c:v>
                </c:pt>
                <c:pt idx="24">
                  <c:v>-1.4102984585109872</c:v>
                </c:pt>
                <c:pt idx="25">
                  <c:v>-0.96413420748168144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leski</c:v>
                </c:pt>
                <c:pt idx="4">
                  <c:v>tarnobrzeski </c:v>
                </c:pt>
                <c:pt idx="5">
                  <c:v>lubaczowski</c:v>
                </c:pt>
                <c:pt idx="6">
                  <c:v>kolbuszowski</c:v>
                </c:pt>
                <c:pt idx="7">
                  <c:v>łańcucki</c:v>
                </c:pt>
                <c:pt idx="8">
                  <c:v>stalowowolski</c:v>
                </c:pt>
                <c:pt idx="9">
                  <c:v>Przemyśl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sanocki</c:v>
                </c:pt>
                <c:pt idx="13">
                  <c:v>przemyski</c:v>
                </c:pt>
                <c:pt idx="14">
                  <c:v>niżański</c:v>
                </c:pt>
                <c:pt idx="15">
                  <c:v>strzyżowski</c:v>
                </c:pt>
                <c:pt idx="16">
                  <c:v>leżajski</c:v>
                </c:pt>
                <c:pt idx="17">
                  <c:v>mielecki</c:v>
                </c:pt>
                <c:pt idx="18">
                  <c:v>dębicki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467</c:v>
                </c:pt>
                <c:pt idx="1">
                  <c:v>523</c:v>
                </c:pt>
                <c:pt idx="2">
                  <c:v>545</c:v>
                </c:pt>
                <c:pt idx="3">
                  <c:v>694</c:v>
                </c:pt>
                <c:pt idx="4">
                  <c:v>703</c:v>
                </c:pt>
                <c:pt idx="5">
                  <c:v>707</c:v>
                </c:pt>
                <c:pt idx="6">
                  <c:v>745</c:v>
                </c:pt>
                <c:pt idx="7">
                  <c:v>1151</c:v>
                </c:pt>
                <c:pt idx="8">
                  <c:v>1153</c:v>
                </c:pt>
                <c:pt idx="9">
                  <c:v>1178</c:v>
                </c:pt>
                <c:pt idx="10">
                  <c:v>1252</c:v>
                </c:pt>
                <c:pt idx="11">
                  <c:v>1355</c:v>
                </c:pt>
                <c:pt idx="12">
                  <c:v>1379</c:v>
                </c:pt>
                <c:pt idx="13">
                  <c:v>1384</c:v>
                </c:pt>
                <c:pt idx="14">
                  <c:v>1396</c:v>
                </c:pt>
                <c:pt idx="15">
                  <c:v>1419</c:v>
                </c:pt>
                <c:pt idx="16">
                  <c:v>1432</c:v>
                </c:pt>
                <c:pt idx="17">
                  <c:v>1573</c:v>
                </c:pt>
                <c:pt idx="18">
                  <c:v>1637</c:v>
                </c:pt>
                <c:pt idx="19">
                  <c:v>1666</c:v>
                </c:pt>
                <c:pt idx="20">
                  <c:v>1802</c:v>
                </c:pt>
                <c:pt idx="21">
                  <c:v>2222</c:v>
                </c:pt>
                <c:pt idx="22">
                  <c:v>2355</c:v>
                </c:pt>
                <c:pt idx="23">
                  <c:v>2708</c:v>
                </c:pt>
                <c:pt idx="24">
                  <c:v>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675</c:v>
                </c:pt>
                <c:pt idx="1">
                  <c:v>945</c:v>
                </c:pt>
                <c:pt idx="2">
                  <c:v>1072</c:v>
                </c:pt>
                <c:pt idx="3">
                  <c:v>1104</c:v>
                </c:pt>
                <c:pt idx="4">
                  <c:v>1309</c:v>
                </c:pt>
                <c:pt idx="5">
                  <c:v>1433</c:v>
                </c:pt>
                <c:pt idx="6">
                  <c:v>1688</c:v>
                </c:pt>
                <c:pt idx="7">
                  <c:v>1716</c:v>
                </c:pt>
                <c:pt idx="8">
                  <c:v>1740</c:v>
                </c:pt>
                <c:pt idx="9">
                  <c:v>1830</c:v>
                </c:pt>
                <c:pt idx="10">
                  <c:v>1936</c:v>
                </c:pt>
                <c:pt idx="11">
                  <c:v>2049</c:v>
                </c:pt>
                <c:pt idx="12">
                  <c:v>2171</c:v>
                </c:pt>
                <c:pt idx="13">
                  <c:v>2226</c:v>
                </c:pt>
                <c:pt idx="14">
                  <c:v>2596</c:v>
                </c:pt>
                <c:pt idx="15">
                  <c:v>2675</c:v>
                </c:pt>
                <c:pt idx="16">
                  <c:v>2907</c:v>
                </c:pt>
                <c:pt idx="17">
                  <c:v>2919</c:v>
                </c:pt>
                <c:pt idx="18">
                  <c:v>3142</c:v>
                </c:pt>
                <c:pt idx="19">
                  <c:v>3635</c:v>
                </c:pt>
                <c:pt idx="20">
                  <c:v>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dębicki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leżajski</c:v>
                </c:pt>
                <c:pt idx="15">
                  <c:v>sanocki</c:v>
                </c:pt>
                <c:pt idx="16">
                  <c:v>niżański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448</c:v>
                </c:pt>
                <c:pt idx="1">
                  <c:v>618</c:v>
                </c:pt>
                <c:pt idx="2">
                  <c:v>690</c:v>
                </c:pt>
                <c:pt idx="3">
                  <c:v>724</c:v>
                </c:pt>
                <c:pt idx="4">
                  <c:v>838</c:v>
                </c:pt>
                <c:pt idx="5">
                  <c:v>920</c:v>
                </c:pt>
                <c:pt idx="6">
                  <c:v>1092</c:v>
                </c:pt>
                <c:pt idx="7">
                  <c:v>1136</c:v>
                </c:pt>
                <c:pt idx="8">
                  <c:v>1186</c:v>
                </c:pt>
                <c:pt idx="9">
                  <c:v>1234</c:v>
                </c:pt>
                <c:pt idx="10">
                  <c:v>1334</c:v>
                </c:pt>
                <c:pt idx="11">
                  <c:v>1579</c:v>
                </c:pt>
                <c:pt idx="12">
                  <c:v>1598</c:v>
                </c:pt>
                <c:pt idx="13">
                  <c:v>1747</c:v>
                </c:pt>
                <c:pt idx="14">
                  <c:v>1757</c:v>
                </c:pt>
                <c:pt idx="15">
                  <c:v>1766</c:v>
                </c:pt>
                <c:pt idx="16">
                  <c:v>1776</c:v>
                </c:pt>
                <c:pt idx="17">
                  <c:v>1798</c:v>
                </c:pt>
                <c:pt idx="18">
                  <c:v>1971</c:v>
                </c:pt>
                <c:pt idx="19">
                  <c:v>2110</c:v>
                </c:pt>
                <c:pt idx="20">
                  <c:v>2333</c:v>
                </c:pt>
                <c:pt idx="21">
                  <c:v>2740</c:v>
                </c:pt>
                <c:pt idx="22">
                  <c:v>2756</c:v>
                </c:pt>
                <c:pt idx="23">
                  <c:v>3049</c:v>
                </c:pt>
                <c:pt idx="24">
                  <c:v>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leski</c:v>
                </c:pt>
                <c:pt idx="4">
                  <c:v>tarnobrzeski </c:v>
                </c:pt>
                <c:pt idx="5">
                  <c:v>lubaczowski</c:v>
                </c:pt>
                <c:pt idx="6">
                  <c:v>kolbuszowski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leżajski</c:v>
                </c:pt>
                <c:pt idx="11">
                  <c:v>strzyżowski</c:v>
                </c:pt>
                <c:pt idx="12">
                  <c:v>łańcucki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przemyski</c:v>
                </c:pt>
                <c:pt idx="16">
                  <c:v>ropczycko-sędziszowski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197</c:v>
                </c:pt>
                <c:pt idx="1">
                  <c:v>255</c:v>
                </c:pt>
                <c:pt idx="2">
                  <c:v>258</c:v>
                </c:pt>
                <c:pt idx="3">
                  <c:v>364</c:v>
                </c:pt>
                <c:pt idx="4">
                  <c:v>368</c:v>
                </c:pt>
                <c:pt idx="5">
                  <c:v>455</c:v>
                </c:pt>
                <c:pt idx="6">
                  <c:v>486</c:v>
                </c:pt>
                <c:pt idx="7">
                  <c:v>505</c:v>
                </c:pt>
                <c:pt idx="8">
                  <c:v>612</c:v>
                </c:pt>
                <c:pt idx="9">
                  <c:v>640</c:v>
                </c:pt>
                <c:pt idx="10">
                  <c:v>771</c:v>
                </c:pt>
                <c:pt idx="11">
                  <c:v>776</c:v>
                </c:pt>
                <c:pt idx="12">
                  <c:v>786</c:v>
                </c:pt>
                <c:pt idx="13">
                  <c:v>794</c:v>
                </c:pt>
                <c:pt idx="14">
                  <c:v>799</c:v>
                </c:pt>
                <c:pt idx="15">
                  <c:v>812</c:v>
                </c:pt>
                <c:pt idx="16">
                  <c:v>862</c:v>
                </c:pt>
                <c:pt idx="17">
                  <c:v>874</c:v>
                </c:pt>
                <c:pt idx="18">
                  <c:v>898</c:v>
                </c:pt>
                <c:pt idx="19">
                  <c:v>920</c:v>
                </c:pt>
                <c:pt idx="20">
                  <c:v>927</c:v>
                </c:pt>
                <c:pt idx="21">
                  <c:v>1129</c:v>
                </c:pt>
                <c:pt idx="22">
                  <c:v>1160</c:v>
                </c:pt>
                <c:pt idx="23">
                  <c:v>1215</c:v>
                </c:pt>
                <c:pt idx="24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ropczycko-sędziszowski</c:v>
                </c:pt>
                <c:pt idx="8">
                  <c:v>dębicki</c:v>
                </c:pt>
                <c:pt idx="9">
                  <c:v>łańcucki</c:v>
                </c:pt>
                <c:pt idx="10">
                  <c:v>stalowowolski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brzozowski</c:v>
                </c:pt>
                <c:pt idx="20">
                  <c:v>mielecki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253</c:v>
                </c:pt>
                <c:pt idx="1">
                  <c:v>260</c:v>
                </c:pt>
                <c:pt idx="2">
                  <c:v>333</c:v>
                </c:pt>
                <c:pt idx="3">
                  <c:v>374</c:v>
                </c:pt>
                <c:pt idx="4">
                  <c:v>415</c:v>
                </c:pt>
                <c:pt idx="5">
                  <c:v>435</c:v>
                </c:pt>
                <c:pt idx="6">
                  <c:v>451</c:v>
                </c:pt>
                <c:pt idx="7">
                  <c:v>589</c:v>
                </c:pt>
                <c:pt idx="8">
                  <c:v>597</c:v>
                </c:pt>
                <c:pt idx="9">
                  <c:v>603</c:v>
                </c:pt>
                <c:pt idx="10">
                  <c:v>609</c:v>
                </c:pt>
                <c:pt idx="11">
                  <c:v>653</c:v>
                </c:pt>
                <c:pt idx="12">
                  <c:v>675</c:v>
                </c:pt>
                <c:pt idx="13">
                  <c:v>702</c:v>
                </c:pt>
                <c:pt idx="14">
                  <c:v>705</c:v>
                </c:pt>
                <c:pt idx="15">
                  <c:v>753</c:v>
                </c:pt>
                <c:pt idx="16">
                  <c:v>770</c:v>
                </c:pt>
                <c:pt idx="17">
                  <c:v>777</c:v>
                </c:pt>
                <c:pt idx="18">
                  <c:v>808</c:v>
                </c:pt>
                <c:pt idx="19">
                  <c:v>840</c:v>
                </c:pt>
                <c:pt idx="20">
                  <c:v>840</c:v>
                </c:pt>
                <c:pt idx="21">
                  <c:v>1146</c:v>
                </c:pt>
                <c:pt idx="22">
                  <c:v>1161</c:v>
                </c:pt>
                <c:pt idx="23">
                  <c:v>1247</c:v>
                </c:pt>
                <c:pt idx="24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leski</c:v>
                </c:pt>
                <c:pt idx="2">
                  <c:v>przemyski</c:v>
                </c:pt>
                <c:pt idx="3">
                  <c:v>krośnieński</c:v>
                </c:pt>
                <c:pt idx="4">
                  <c:v>Tarnobrzeg</c:v>
                </c:pt>
                <c:pt idx="5">
                  <c:v>brzozowski</c:v>
                </c:pt>
                <c:pt idx="6">
                  <c:v>sanocki</c:v>
                </c:pt>
                <c:pt idx="7">
                  <c:v>Krosno</c:v>
                </c:pt>
                <c:pt idx="8">
                  <c:v>kolbuszowski</c:v>
                </c:pt>
                <c:pt idx="9">
                  <c:v>Przemyśl</c:v>
                </c:pt>
                <c:pt idx="10">
                  <c:v>strzyżowski</c:v>
                </c:pt>
                <c:pt idx="11">
                  <c:v>przeworski</c:v>
                </c:pt>
                <c:pt idx="12">
                  <c:v>leżajski</c:v>
                </c:pt>
                <c:pt idx="13">
                  <c:v>jarosławski</c:v>
                </c:pt>
                <c:pt idx="14">
                  <c:v>ropczycko-sędziszowski</c:v>
                </c:pt>
                <c:pt idx="15">
                  <c:v>lubaczowski</c:v>
                </c:pt>
                <c:pt idx="16">
                  <c:v>łańcucki</c:v>
                </c:pt>
                <c:pt idx="17">
                  <c:v>stalowowolski</c:v>
                </c:pt>
                <c:pt idx="18">
                  <c:v>niżański</c:v>
                </c:pt>
                <c:pt idx="19">
                  <c:v>rzeszowski</c:v>
                </c:pt>
                <c:pt idx="20">
                  <c:v>tarnobrzeski </c:v>
                </c:pt>
                <c:pt idx="21">
                  <c:v>jasielski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9</c:v>
                </c:pt>
                <c:pt idx="1">
                  <c:v>25</c:v>
                </c:pt>
                <c:pt idx="2">
                  <c:v>27</c:v>
                </c:pt>
                <c:pt idx="3">
                  <c:v>34</c:v>
                </c:pt>
                <c:pt idx="4">
                  <c:v>36</c:v>
                </c:pt>
                <c:pt idx="5">
                  <c:v>53</c:v>
                </c:pt>
                <c:pt idx="6">
                  <c:v>56</c:v>
                </c:pt>
                <c:pt idx="7">
                  <c:v>59</c:v>
                </c:pt>
                <c:pt idx="8">
                  <c:v>61</c:v>
                </c:pt>
                <c:pt idx="9">
                  <c:v>62</c:v>
                </c:pt>
                <c:pt idx="10">
                  <c:v>67</c:v>
                </c:pt>
                <c:pt idx="11">
                  <c:v>68</c:v>
                </c:pt>
                <c:pt idx="12">
                  <c:v>69</c:v>
                </c:pt>
                <c:pt idx="13">
                  <c:v>70</c:v>
                </c:pt>
                <c:pt idx="14">
                  <c:v>71</c:v>
                </c:pt>
                <c:pt idx="15">
                  <c:v>90</c:v>
                </c:pt>
                <c:pt idx="16">
                  <c:v>92</c:v>
                </c:pt>
                <c:pt idx="17">
                  <c:v>94</c:v>
                </c:pt>
                <c:pt idx="18">
                  <c:v>109</c:v>
                </c:pt>
                <c:pt idx="19">
                  <c:v>119</c:v>
                </c:pt>
                <c:pt idx="20">
                  <c:v>131</c:v>
                </c:pt>
                <c:pt idx="21">
                  <c:v>132</c:v>
                </c:pt>
                <c:pt idx="22">
                  <c:v>166</c:v>
                </c:pt>
                <c:pt idx="23">
                  <c:v>212</c:v>
                </c:pt>
                <c:pt idx="24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tarnobrzeski </c:v>
                </c:pt>
                <c:pt idx="1">
                  <c:v>bieszczadzki</c:v>
                </c:pt>
                <c:pt idx="2">
                  <c:v>Krosno</c:v>
                </c:pt>
                <c:pt idx="3">
                  <c:v>Tarnobrzeg</c:v>
                </c:pt>
                <c:pt idx="4">
                  <c:v>sanocki</c:v>
                </c:pt>
                <c:pt idx="5">
                  <c:v>krośnieński</c:v>
                </c:pt>
                <c:pt idx="6">
                  <c:v>rzeszowski</c:v>
                </c:pt>
                <c:pt idx="7">
                  <c:v>leski</c:v>
                </c:pt>
                <c:pt idx="8">
                  <c:v>przemyski</c:v>
                </c:pt>
                <c:pt idx="9">
                  <c:v>jarosławski</c:v>
                </c:pt>
                <c:pt idx="10">
                  <c:v>kolbuszowski</c:v>
                </c:pt>
                <c:pt idx="11">
                  <c:v>Przemyśl</c:v>
                </c:pt>
                <c:pt idx="12">
                  <c:v>przeworski</c:v>
                </c:pt>
                <c:pt idx="13">
                  <c:v>dębicki</c:v>
                </c:pt>
                <c:pt idx="14">
                  <c:v>ropczycko-sędziszowski</c:v>
                </c:pt>
                <c:pt idx="15">
                  <c:v>leżajski</c:v>
                </c:pt>
                <c:pt idx="16">
                  <c:v>łańcucki</c:v>
                </c:pt>
                <c:pt idx="17">
                  <c:v>lubaczowski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strzyżowski</c:v>
                </c:pt>
                <c:pt idx="21">
                  <c:v>Rzeszów</c:v>
                </c:pt>
                <c:pt idx="22">
                  <c:v>mielecki</c:v>
                </c:pt>
                <c:pt idx="23">
                  <c:v>stalowowolski</c:v>
                </c:pt>
                <c:pt idx="24">
                  <c:v>niżański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28</c:v>
                </c:pt>
                <c:pt idx="11">
                  <c:v>30</c:v>
                </c:pt>
                <c:pt idx="12">
                  <c:v>33</c:v>
                </c:pt>
                <c:pt idx="13">
                  <c:v>37</c:v>
                </c:pt>
                <c:pt idx="14">
                  <c:v>39</c:v>
                </c:pt>
                <c:pt idx="15">
                  <c:v>41</c:v>
                </c:pt>
                <c:pt idx="16">
                  <c:v>41</c:v>
                </c:pt>
                <c:pt idx="17">
                  <c:v>42</c:v>
                </c:pt>
                <c:pt idx="18">
                  <c:v>47</c:v>
                </c:pt>
                <c:pt idx="19">
                  <c:v>47</c:v>
                </c:pt>
                <c:pt idx="20">
                  <c:v>48</c:v>
                </c:pt>
                <c:pt idx="21">
                  <c:v>50</c:v>
                </c:pt>
                <c:pt idx="22">
                  <c:v>58</c:v>
                </c:pt>
                <c:pt idx="23">
                  <c:v>62</c:v>
                </c:pt>
                <c:pt idx="2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20</xdr:col>
      <xdr:colOff>47625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3"/>
      <c r="D1" s="13"/>
      <c r="E1" s="13"/>
      <c r="F1" s="13"/>
      <c r="G1" s="13"/>
      <c r="H1" s="13"/>
    </row>
    <row r="2" spans="2:8" ht="58.5" x14ac:dyDescent="0.2">
      <c r="B2" s="31" t="s">
        <v>27</v>
      </c>
      <c r="C2" s="32" t="s">
        <v>85</v>
      </c>
      <c r="D2" s="33" t="s">
        <v>86</v>
      </c>
      <c r="E2" s="32" t="s">
        <v>33</v>
      </c>
      <c r="F2" s="158" t="s">
        <v>42</v>
      </c>
      <c r="G2" s="33" t="s">
        <v>87</v>
      </c>
      <c r="H2" s="32" t="s">
        <v>26</v>
      </c>
    </row>
    <row r="3" spans="2:8" x14ac:dyDescent="0.2">
      <c r="B3" s="5" t="s">
        <v>0</v>
      </c>
      <c r="C3" s="6">
        <v>1086</v>
      </c>
      <c r="D3" s="37">
        <v>1124</v>
      </c>
      <c r="E3" s="6">
        <f>SUM(C3)-D3</f>
        <v>-38</v>
      </c>
      <c r="F3" s="18">
        <f>SUM(E3/D3)*100</f>
        <v>-3.3807829181494666</v>
      </c>
      <c r="G3" s="37">
        <v>992</v>
      </c>
      <c r="H3" s="6">
        <f>SUM(C3)-G3</f>
        <v>94</v>
      </c>
    </row>
    <row r="4" spans="2:8" x14ac:dyDescent="0.2">
      <c r="B4" s="5" t="s">
        <v>1</v>
      </c>
      <c r="C4" s="6">
        <v>3429</v>
      </c>
      <c r="D4" s="37">
        <v>3503</v>
      </c>
      <c r="E4" s="6">
        <f t="shared" ref="E4:E26" si="0">SUM(C4)-D4</f>
        <v>-74</v>
      </c>
      <c r="F4" s="18">
        <f t="shared" ref="F4:F25" si="1">SUM(E4/D4)*100</f>
        <v>-2.1124750214102197</v>
      </c>
      <c r="G4" s="37">
        <v>3490</v>
      </c>
      <c r="H4" s="6">
        <f t="shared" ref="H4:H27" si="2">SUM(C4)-G4</f>
        <v>-61</v>
      </c>
    </row>
    <row r="5" spans="2:8" x14ac:dyDescent="0.2">
      <c r="B5" s="5" t="s">
        <v>2</v>
      </c>
      <c r="C5" s="6">
        <v>2882</v>
      </c>
      <c r="D5" s="37">
        <v>2939</v>
      </c>
      <c r="E5" s="6">
        <f t="shared" si="0"/>
        <v>-57</v>
      </c>
      <c r="F5" s="18">
        <f>SUM(E5/D5)*100</f>
        <v>-1.9394351820347058</v>
      </c>
      <c r="G5" s="37">
        <v>2158</v>
      </c>
      <c r="H5" s="6">
        <f t="shared" si="2"/>
        <v>724</v>
      </c>
    </row>
    <row r="6" spans="2:8" x14ac:dyDescent="0.2">
      <c r="B6" s="5" t="s">
        <v>3</v>
      </c>
      <c r="C6" s="6">
        <v>4694</v>
      </c>
      <c r="D6" s="37">
        <v>4869</v>
      </c>
      <c r="E6" s="6">
        <f t="shared" si="0"/>
        <v>-175</v>
      </c>
      <c r="F6" s="18">
        <f t="shared" si="1"/>
        <v>-3.5941671801191211</v>
      </c>
      <c r="G6" s="37">
        <v>4365</v>
      </c>
      <c r="H6" s="6">
        <f t="shared" si="2"/>
        <v>329</v>
      </c>
    </row>
    <row r="7" spans="2:8" x14ac:dyDescent="0.2">
      <c r="B7" s="5" t="s">
        <v>4</v>
      </c>
      <c r="C7" s="6">
        <v>5207</v>
      </c>
      <c r="D7" s="37">
        <v>5284</v>
      </c>
      <c r="E7" s="6">
        <f t="shared" si="0"/>
        <v>-77</v>
      </c>
      <c r="F7" s="18">
        <f t="shared" si="1"/>
        <v>-1.4572293716881151</v>
      </c>
      <c r="G7" s="37">
        <v>4634</v>
      </c>
      <c r="H7" s="6">
        <f t="shared" si="2"/>
        <v>573</v>
      </c>
    </row>
    <row r="8" spans="2:8" x14ac:dyDescent="0.2">
      <c r="B8" s="5" t="s">
        <v>5</v>
      </c>
      <c r="C8" s="6">
        <v>1645</v>
      </c>
      <c r="D8" s="37">
        <v>1669</v>
      </c>
      <c r="E8" s="6">
        <f t="shared" si="0"/>
        <v>-24</v>
      </c>
      <c r="F8" s="18">
        <f t="shared" si="1"/>
        <v>-1.4379868184541642</v>
      </c>
      <c r="G8" s="37">
        <v>1476</v>
      </c>
      <c r="H8" s="6">
        <f t="shared" si="2"/>
        <v>169</v>
      </c>
    </row>
    <row r="9" spans="2:8" x14ac:dyDescent="0.2">
      <c r="B9" s="9" t="s">
        <v>6</v>
      </c>
      <c r="C9" s="6">
        <v>2495</v>
      </c>
      <c r="D9" s="37">
        <v>2547</v>
      </c>
      <c r="E9" s="6">
        <f t="shared" si="0"/>
        <v>-52</v>
      </c>
      <c r="F9" s="18">
        <f t="shared" si="1"/>
        <v>-2.0416175893207695</v>
      </c>
      <c r="G9" s="37">
        <v>2341</v>
      </c>
      <c r="H9" s="6">
        <f t="shared" si="2"/>
        <v>154</v>
      </c>
    </row>
    <row r="10" spans="2:8" x14ac:dyDescent="0.2">
      <c r="B10" s="5" t="s">
        <v>7</v>
      </c>
      <c r="C10" s="6">
        <v>1590</v>
      </c>
      <c r="D10" s="37">
        <v>1704</v>
      </c>
      <c r="E10" s="6">
        <f t="shared" si="0"/>
        <v>-114</v>
      </c>
      <c r="F10" s="18">
        <f t="shared" si="1"/>
        <v>-6.6901408450704221</v>
      </c>
      <c r="G10" s="37">
        <v>1531</v>
      </c>
      <c r="H10" s="6">
        <f t="shared" si="2"/>
        <v>59</v>
      </c>
    </row>
    <row r="11" spans="2:8" x14ac:dyDescent="0.2">
      <c r="B11" s="5" t="s">
        <v>8</v>
      </c>
      <c r="C11" s="6">
        <v>2928</v>
      </c>
      <c r="D11" s="37">
        <v>3022</v>
      </c>
      <c r="E11" s="6">
        <f t="shared" si="0"/>
        <v>-94</v>
      </c>
      <c r="F11" s="18">
        <f t="shared" si="1"/>
        <v>-3.1105228325612178</v>
      </c>
      <c r="G11" s="37">
        <v>2806</v>
      </c>
      <c r="H11" s="6">
        <f t="shared" si="2"/>
        <v>122</v>
      </c>
    </row>
    <row r="12" spans="2:8" x14ac:dyDescent="0.2">
      <c r="B12" s="5" t="s">
        <v>9</v>
      </c>
      <c r="C12" s="6">
        <v>1676</v>
      </c>
      <c r="D12" s="37">
        <v>1737</v>
      </c>
      <c r="E12" s="6">
        <f t="shared" si="0"/>
        <v>-61</v>
      </c>
      <c r="F12" s="18">
        <f t="shared" si="1"/>
        <v>-3.5118019573978123</v>
      </c>
      <c r="G12" s="37">
        <v>1499</v>
      </c>
      <c r="H12" s="6">
        <f t="shared" si="2"/>
        <v>177</v>
      </c>
    </row>
    <row r="13" spans="2:8" x14ac:dyDescent="0.2">
      <c r="B13" s="5" t="s">
        <v>10</v>
      </c>
      <c r="C13" s="6">
        <v>2637</v>
      </c>
      <c r="D13" s="37">
        <v>2678</v>
      </c>
      <c r="E13" s="6">
        <f t="shared" si="0"/>
        <v>-41</v>
      </c>
      <c r="F13" s="18">
        <f t="shared" si="1"/>
        <v>-1.530993278566094</v>
      </c>
      <c r="G13" s="37">
        <v>2381</v>
      </c>
      <c r="H13" s="6">
        <f t="shared" si="2"/>
        <v>256</v>
      </c>
    </row>
    <row r="14" spans="2:8" x14ac:dyDescent="0.2">
      <c r="B14" s="5" t="s">
        <v>11</v>
      </c>
      <c r="C14" s="6">
        <v>3396</v>
      </c>
      <c r="D14" s="37">
        <v>3456</v>
      </c>
      <c r="E14" s="6">
        <f t="shared" si="0"/>
        <v>-60</v>
      </c>
      <c r="F14" s="18">
        <f t="shared" si="1"/>
        <v>-1.7361111111111112</v>
      </c>
      <c r="G14" s="37">
        <v>2998</v>
      </c>
      <c r="H14" s="6">
        <f t="shared" si="2"/>
        <v>398</v>
      </c>
    </row>
    <row r="15" spans="2:8" x14ac:dyDescent="0.2">
      <c r="B15" s="5" t="s">
        <v>12</v>
      </c>
      <c r="C15" s="6">
        <v>2964</v>
      </c>
      <c r="D15" s="37">
        <v>3031</v>
      </c>
      <c r="E15" s="6">
        <f t="shared" si="0"/>
        <v>-67</v>
      </c>
      <c r="F15" s="18">
        <f t="shared" si="1"/>
        <v>-2.2104915869350048</v>
      </c>
      <c r="G15" s="37">
        <v>2801</v>
      </c>
      <c r="H15" s="6">
        <f t="shared" si="2"/>
        <v>163</v>
      </c>
    </row>
    <row r="16" spans="2:8" x14ac:dyDescent="0.2">
      <c r="B16" s="5" t="s">
        <v>13</v>
      </c>
      <c r="C16" s="6">
        <v>3006</v>
      </c>
      <c r="D16" s="37">
        <v>3049</v>
      </c>
      <c r="E16" s="6">
        <f t="shared" si="0"/>
        <v>-43</v>
      </c>
      <c r="F16" s="18">
        <f t="shared" si="1"/>
        <v>-1.4102984585109872</v>
      </c>
      <c r="G16" s="37">
        <v>2806</v>
      </c>
      <c r="H16" s="6">
        <f t="shared" si="2"/>
        <v>200</v>
      </c>
    </row>
    <row r="17" spans="2:8" x14ac:dyDescent="0.2">
      <c r="B17" s="5" t="s">
        <v>14</v>
      </c>
      <c r="C17" s="6">
        <v>3471</v>
      </c>
      <c r="D17" s="37">
        <v>3522</v>
      </c>
      <c r="E17" s="6">
        <f t="shared" si="0"/>
        <v>-51</v>
      </c>
      <c r="F17" s="18">
        <f t="shared" si="1"/>
        <v>-1.4480408858603067</v>
      </c>
      <c r="G17" s="37">
        <v>3257</v>
      </c>
      <c r="H17" s="6">
        <f t="shared" si="2"/>
        <v>214</v>
      </c>
    </row>
    <row r="18" spans="2:8" x14ac:dyDescent="0.2">
      <c r="B18" s="5" t="s">
        <v>15</v>
      </c>
      <c r="C18" s="6">
        <v>2784</v>
      </c>
      <c r="D18" s="37">
        <v>2840</v>
      </c>
      <c r="E18" s="6">
        <f t="shared" si="0"/>
        <v>-56</v>
      </c>
      <c r="F18" s="18">
        <f t="shared" si="1"/>
        <v>-1.971830985915493</v>
      </c>
      <c r="G18" s="37">
        <v>2608</v>
      </c>
      <c r="H18" s="6">
        <f t="shared" si="2"/>
        <v>176</v>
      </c>
    </row>
    <row r="19" spans="2:8" x14ac:dyDescent="0.2">
      <c r="B19" s="5" t="s">
        <v>16</v>
      </c>
      <c r="C19" s="6">
        <v>4771</v>
      </c>
      <c r="D19" s="37">
        <v>4947</v>
      </c>
      <c r="E19" s="6">
        <f t="shared" si="0"/>
        <v>-176</v>
      </c>
      <c r="F19" s="18">
        <f t="shared" si="1"/>
        <v>-3.5577117444916109</v>
      </c>
      <c r="G19" s="37">
        <v>4466</v>
      </c>
      <c r="H19" s="6">
        <f t="shared" si="2"/>
        <v>305</v>
      </c>
    </row>
    <row r="20" spans="2:8" x14ac:dyDescent="0.2">
      <c r="B20" s="5" t="s">
        <v>17</v>
      </c>
      <c r="C20" s="6">
        <v>3019</v>
      </c>
      <c r="D20" s="37">
        <v>3135</v>
      </c>
      <c r="E20" s="6">
        <f t="shared" si="0"/>
        <v>-116</v>
      </c>
      <c r="F20" s="18">
        <f t="shared" si="1"/>
        <v>-3.7001594896331738</v>
      </c>
      <c r="G20" s="37">
        <v>2859</v>
      </c>
      <c r="H20" s="6">
        <f t="shared" si="2"/>
        <v>160</v>
      </c>
    </row>
    <row r="21" spans="2:8" x14ac:dyDescent="0.2">
      <c r="B21" s="5" t="s">
        <v>18</v>
      </c>
      <c r="C21" s="6">
        <v>2404</v>
      </c>
      <c r="D21" s="37">
        <v>2529</v>
      </c>
      <c r="E21" s="6">
        <f t="shared" si="0"/>
        <v>-125</v>
      </c>
      <c r="F21" s="18">
        <f t="shared" si="1"/>
        <v>-4.9426650850138394</v>
      </c>
      <c r="G21" s="37">
        <v>2174</v>
      </c>
      <c r="H21" s="6">
        <f t="shared" si="2"/>
        <v>230</v>
      </c>
    </row>
    <row r="22" spans="2:8" x14ac:dyDescent="0.2">
      <c r="B22" s="5" t="s">
        <v>19</v>
      </c>
      <c r="C22" s="6">
        <v>3008</v>
      </c>
      <c r="D22" s="37">
        <v>3076</v>
      </c>
      <c r="E22" s="6">
        <f t="shared" si="0"/>
        <v>-68</v>
      </c>
      <c r="F22" s="18">
        <f t="shared" si="1"/>
        <v>-2.2106631989596877</v>
      </c>
      <c r="G22" s="37">
        <v>2917</v>
      </c>
      <c r="H22" s="6">
        <f t="shared" si="2"/>
        <v>91</v>
      </c>
    </row>
    <row r="23" spans="2:8" x14ac:dyDescent="0.2">
      <c r="B23" s="5" t="s">
        <v>20</v>
      </c>
      <c r="C23" s="6">
        <v>1390</v>
      </c>
      <c r="D23" s="37">
        <v>1427</v>
      </c>
      <c r="E23" s="6">
        <f t="shared" si="0"/>
        <v>-37</v>
      </c>
      <c r="F23" s="18">
        <f t="shared" si="1"/>
        <v>-2.5928521373510862</v>
      </c>
      <c r="G23" s="37">
        <v>1215</v>
      </c>
      <c r="H23" s="6">
        <f t="shared" si="2"/>
        <v>175</v>
      </c>
    </row>
    <row r="24" spans="2:8" x14ac:dyDescent="0.2">
      <c r="B24" s="5" t="s">
        <v>21</v>
      </c>
      <c r="C24" s="6">
        <v>1017</v>
      </c>
      <c r="D24" s="37">
        <v>1044</v>
      </c>
      <c r="E24" s="6">
        <f t="shared" si="0"/>
        <v>-27</v>
      </c>
      <c r="F24" s="18">
        <f t="shared" si="1"/>
        <v>-2.5862068965517242</v>
      </c>
      <c r="G24" s="37">
        <v>871</v>
      </c>
      <c r="H24" s="6">
        <f t="shared" si="2"/>
        <v>146</v>
      </c>
    </row>
    <row r="25" spans="2:8" x14ac:dyDescent="0.2">
      <c r="B25" s="5" t="s">
        <v>22</v>
      </c>
      <c r="C25" s="6">
        <v>2568</v>
      </c>
      <c r="D25" s="37">
        <v>2593</v>
      </c>
      <c r="E25" s="6">
        <f t="shared" si="0"/>
        <v>-25</v>
      </c>
      <c r="F25" s="18">
        <f t="shared" si="1"/>
        <v>-0.96413420748168144</v>
      </c>
      <c r="G25" s="37">
        <v>2338</v>
      </c>
      <c r="H25" s="6">
        <f t="shared" si="2"/>
        <v>230</v>
      </c>
    </row>
    <row r="26" spans="2:8" x14ac:dyDescent="0.2">
      <c r="B26" s="5" t="s">
        <v>23</v>
      </c>
      <c r="C26" s="6">
        <v>5466</v>
      </c>
      <c r="D26" s="37">
        <v>5580</v>
      </c>
      <c r="E26" s="6">
        <f t="shared" si="0"/>
        <v>-114</v>
      </c>
      <c r="F26" s="18">
        <f>SUM(E26/D26)*100</f>
        <v>-2.043010752688172</v>
      </c>
      <c r="G26" s="37">
        <v>4981</v>
      </c>
      <c r="H26" s="6">
        <f t="shared" si="2"/>
        <v>485</v>
      </c>
    </row>
    <row r="27" spans="2:8" x14ac:dyDescent="0.2">
      <c r="B27" s="5" t="s">
        <v>24</v>
      </c>
      <c r="C27" s="6">
        <v>1189</v>
      </c>
      <c r="D27" s="37">
        <v>1210</v>
      </c>
      <c r="E27" s="6">
        <f>SUM(C27)-D27</f>
        <v>-21</v>
      </c>
      <c r="F27" s="18">
        <f>SUM(E27/D27)*100</f>
        <v>-1.7355371900826446</v>
      </c>
      <c r="G27" s="37">
        <v>1010</v>
      </c>
      <c r="H27" s="6">
        <f t="shared" si="2"/>
        <v>179</v>
      </c>
    </row>
    <row r="28" spans="2:8" ht="15" x14ac:dyDescent="0.25">
      <c r="B28" s="34" t="s">
        <v>25</v>
      </c>
      <c r="C28" s="35">
        <f>SUM(C3:C27)</f>
        <v>70722</v>
      </c>
      <c r="D28" s="36">
        <f>SUM(D3:D27)</f>
        <v>72515</v>
      </c>
      <c r="E28" s="35">
        <f>SUM(C28)-D28</f>
        <v>-1793</v>
      </c>
      <c r="F28" s="40">
        <f>SUM(E28/D28)*100</f>
        <v>-2.4725918775425777</v>
      </c>
      <c r="G28" s="36">
        <f>SUM(G3:G27)</f>
        <v>64974</v>
      </c>
      <c r="H28" s="35">
        <f>SUM(C28)-G28</f>
        <v>5748</v>
      </c>
    </row>
    <row r="29" spans="2:8" x14ac:dyDescent="0.2">
      <c r="E29" s="14"/>
      <c r="F29" s="14"/>
      <c r="G29" s="14"/>
      <c r="H29" s="14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70</v>
      </c>
    </row>
    <row r="2" spans="2:8" ht="15" x14ac:dyDescent="0.2">
      <c r="C2" s="15"/>
      <c r="D2" s="16"/>
    </row>
    <row r="3" spans="2:8" ht="71.25" x14ac:dyDescent="0.2">
      <c r="B3" s="38" t="s">
        <v>39</v>
      </c>
      <c r="C3" s="31" t="str">
        <f>T('5do 30 r.ż.'!B2)</f>
        <v>powiaty</v>
      </c>
      <c r="D3" s="31" t="str">
        <f>T('5do 30 r.ż.'!C2)</f>
        <v>liczba bezrobotnych do 30 r. ż. stan na 31-05-'26 r.</v>
      </c>
      <c r="E3" s="31" t="str">
        <f>T('5do 30 r.ż.'!D2)</f>
        <v>liczba bezrobotnych do 30 r. ż. stan na 30-04-'26 r.</v>
      </c>
      <c r="F3" s="31" t="str">
        <f>T('5do 30 r.ż.'!E2)</f>
        <v>wzrost/spadek do poprzedniego  miesiąca</v>
      </c>
      <c r="G3" s="31" t="str">
        <f>T('5do 30 r.ż.'!F2)</f>
        <v>liczba bezrobotnych do 30 r. ż. stan na 31-05-'25 r.</v>
      </c>
      <c r="H3" s="31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2</v>
      </c>
      <c r="C4" s="5" t="str">
        <f>INDEX('5do 30 r.ż.'!B3:G28,MATCH(1,B4:B29,0),1)</f>
        <v>Krosno</v>
      </c>
      <c r="D4" s="19">
        <f>INDEX('5do 30 r.ż.'!B3:G28,MATCH(1,B4:B29,0),2)</f>
        <v>197</v>
      </c>
      <c r="E4" s="37">
        <f>INDEX('5do 30 r.ż.'!B3:G28,MATCH(1,B4:B29,0),3)</f>
        <v>209</v>
      </c>
      <c r="F4" s="6">
        <f>INDEX('5do 30 r.ż.'!B3:G28,MATCH(1,B4:B29,0),4)</f>
        <v>-12</v>
      </c>
      <c r="G4" s="37">
        <f>INDEX('5do 30 r.ż.'!B3:G28,MATCH(1,B4:B29,0),5)</f>
        <v>185</v>
      </c>
      <c r="H4" s="6">
        <f>INDEX('5do 30 r.ż.'!B3:G28,MATCH(1,B4:B29,0),6)</f>
        <v>12</v>
      </c>
    </row>
    <row r="5" spans="2:8" x14ac:dyDescent="0.2">
      <c r="B5" s="6">
        <f>RANK('5do 30 r.ż.'!C4,'5do 30 r.ż.'!$C$3:'5do 30 r.ż.'!$C$28,1)+COUNTIF('5do 30 r.ż.'!$C$3:'5do 30 r.ż.'!C4,'5do 30 r.ż.'!C4)-1</f>
        <v>20</v>
      </c>
      <c r="C5" s="5" t="str">
        <f>INDEX('5do 30 r.ż.'!B3:G28,MATCH(2,B4:B29,0),1)</f>
        <v>bieszczadzki</v>
      </c>
      <c r="D5" s="6">
        <f>INDEX('5do 30 r.ż.'!B3:G28,MATCH(2,B4:B29,0),2)</f>
        <v>255</v>
      </c>
      <c r="E5" s="37">
        <f>INDEX('5do 30 r.ż.'!B3:G28,MATCH(2,B4:B29,0),3)</f>
        <v>264</v>
      </c>
      <c r="F5" s="6">
        <f>INDEX('5do 30 r.ż.'!B3:G28,MATCH(2,B4:B29,0),4)</f>
        <v>-9</v>
      </c>
      <c r="G5" s="37">
        <f>INDEX('5do 30 r.ż.'!B3:G28,MATCH(2,B4:B29,0),5)</f>
        <v>249</v>
      </c>
      <c r="H5" s="6">
        <f>INDEX('5do 30 r.ż.'!B3:G28,MATCH(2,B4:B29,0),6)</f>
        <v>6</v>
      </c>
    </row>
    <row r="6" spans="2:8" x14ac:dyDescent="0.2">
      <c r="B6" s="6">
        <f>RANK('5do 30 r.ż.'!C5,'5do 30 r.ż.'!$C$3:'5do 30 r.ż.'!$C$28,1)+COUNTIF('5do 30 r.ż.'!$C$3:'5do 30 r.ż.'!C5,'5do 30 r.ż.'!C5)-1</f>
        <v>18</v>
      </c>
      <c r="C6" s="5" t="str">
        <f>INDEX('5do 30 r.ż.'!B3:G28,MATCH(3,B4:B29,0),1)</f>
        <v>Tarnobrzeg</v>
      </c>
      <c r="D6" s="6">
        <f>INDEX('5do 30 r.ż.'!B3:G28,MATCH(3,B4:B29,0),2)</f>
        <v>258</v>
      </c>
      <c r="E6" s="37">
        <f>INDEX('5do 30 r.ż.'!B3:G28,MATCH(3,B4:B29,0),3)</f>
        <v>269</v>
      </c>
      <c r="F6" s="6">
        <f>INDEX('5do 30 r.ż.'!B3:G28,MATCH(3,B4:B29,0),4)</f>
        <v>-11</v>
      </c>
      <c r="G6" s="37">
        <f>INDEX('5do 30 r.ż.'!B3:G28,MATCH(3,B4:B29,0),5)</f>
        <v>203</v>
      </c>
      <c r="H6" s="6">
        <f>INDEX('5do 30 r.ż.'!B3:G28,MATCH(3,B4:B29,0),6)</f>
        <v>55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>leski</v>
      </c>
      <c r="D7" s="6">
        <f>INDEX('5do 30 r.ż.'!B3:G28,MATCH(4,B4:B29,0),2)</f>
        <v>364</v>
      </c>
      <c r="E7" s="37">
        <f>INDEX('5do 30 r.ż.'!B3:G28,MATCH(4,B4:B29,0),3)</f>
        <v>406</v>
      </c>
      <c r="F7" s="6">
        <f>INDEX('5do 30 r.ż.'!B3:G28,MATCH(4,B4:B29,0),4)</f>
        <v>-42</v>
      </c>
      <c r="G7" s="37">
        <f>INDEX('5do 30 r.ż.'!B3:G28,MATCH(4,B4:B29,0),5)</f>
        <v>389</v>
      </c>
      <c r="H7" s="6">
        <f>INDEX('5do 30 r.ż.'!B3:G28,MATCH(4,B4:B29,0),6)</f>
        <v>-25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 xml:space="preserve">tarnobrzeski </v>
      </c>
      <c r="D8" s="6">
        <f>INDEX('5do 30 r.ż.'!B3:G28,MATCH(5,B4:B29,0),2)</f>
        <v>368</v>
      </c>
      <c r="E8" s="37">
        <f>INDEX('5do 30 r.ż.'!B3:G28,MATCH(5,B4:B29,0),3)</f>
        <v>370</v>
      </c>
      <c r="F8" s="6">
        <f>INDEX('5do 30 r.ż.'!B3:G28,MATCH(5,B4:B29,0),4)</f>
        <v>-2</v>
      </c>
      <c r="G8" s="37">
        <f>INDEX('5do 30 r.ż.'!B3:G28,MATCH(5,B4:B29,0),5)</f>
        <v>314</v>
      </c>
      <c r="H8" s="6">
        <f>INDEX('5do 30 r.ż.'!B3:G28,MATCH(5,B4:B29,0),6)</f>
        <v>54</v>
      </c>
    </row>
    <row r="9" spans="2:8" x14ac:dyDescent="0.2">
      <c r="B9" s="6">
        <f>RANK('5do 30 r.ż.'!C8,'5do 30 r.ż.'!$C$3:'5do 30 r.ż.'!$C$28,1)+COUNTIF('5do 30 r.ż.'!$C$3:'5do 30 r.ż.'!C8,'5do 30 r.ż.'!C8)-1</f>
        <v>7</v>
      </c>
      <c r="C9" s="5" t="str">
        <f>INDEX('5do 30 r.ż.'!B3:G28,MATCH(6,B4:B29,0),1)</f>
        <v>lubaczowski</v>
      </c>
      <c r="D9" s="6">
        <f>INDEX('5do 30 r.ż.'!B3:G28,MATCH(6,B4:B29,0),2)</f>
        <v>455</v>
      </c>
      <c r="E9" s="37">
        <f>INDEX('5do 30 r.ż.'!B3:G28,MATCH(6,B4:B29,0),3)</f>
        <v>470</v>
      </c>
      <c r="F9" s="6">
        <f>INDEX('5do 30 r.ż.'!B3:G28,MATCH(6,B4:B29,0),4)</f>
        <v>-15</v>
      </c>
      <c r="G9" s="37">
        <f>INDEX('5do 30 r.ż.'!B3:G28,MATCH(6,B4:B29,0),5)</f>
        <v>415</v>
      </c>
      <c r="H9" s="6">
        <f>INDEX('5do 30 r.ż.'!B3:G28,MATCH(6,B4:B29,0),6)</f>
        <v>40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kolbuszowski</v>
      </c>
      <c r="D10" s="6">
        <f>INDEX('5do 30 r.ż.'!B3:G28,MATCH(7,B4:B29,0),2)</f>
        <v>486</v>
      </c>
      <c r="E10" s="37">
        <f>INDEX('5do 30 r.ż.'!B3:G28,MATCH(7,B4:B29,0),3)</f>
        <v>490</v>
      </c>
      <c r="F10" s="6">
        <f>INDEX('5do 30 r.ż.'!B3:G28,MATCH(7,B4:B29,0),4)</f>
        <v>-4</v>
      </c>
      <c r="G10" s="37">
        <f>INDEX('5do 30 r.ż.'!B3:G28,MATCH(7,B4:B29,0),5)</f>
        <v>388</v>
      </c>
      <c r="H10" s="6">
        <f>INDEX('5do 30 r.ż.'!B3:G28,MATCH(7,B4:B29,0),6)</f>
        <v>98</v>
      </c>
    </row>
    <row r="11" spans="2:8" x14ac:dyDescent="0.2">
      <c r="B11" s="6">
        <f>RANK('5do 30 r.ż.'!C10,'5do 30 r.ż.'!$C$3:'5do 30 r.ż.'!$C$28,1)+COUNTIF('5do 30 r.ż.'!$C$3:'5do 30 r.ż.'!C10,'5do 30 r.ż.'!C10)-1</f>
        <v>4</v>
      </c>
      <c r="C11" s="5" t="str">
        <f>INDEX('5do 30 r.ż.'!B3:G28,MATCH(8,B4:B29,0),1)</f>
        <v>Przemyśl</v>
      </c>
      <c r="D11" s="6">
        <f>INDEX('5do 30 r.ż.'!B3:G28,MATCH(8,B4:B29,0),2)</f>
        <v>505</v>
      </c>
      <c r="E11" s="37">
        <f>INDEX('5do 30 r.ż.'!B3:G28,MATCH(8,B4:B29,0),3)</f>
        <v>517</v>
      </c>
      <c r="F11" s="6">
        <f>INDEX('5do 30 r.ż.'!B3:G28,MATCH(8,B4:B29,0),4)</f>
        <v>-12</v>
      </c>
      <c r="G11" s="37">
        <f>INDEX('5do 30 r.ż.'!B3:G28,MATCH(8,B4:B29,0),5)</f>
        <v>456</v>
      </c>
      <c r="H11" s="6">
        <f>INDEX('5do 30 r.ż.'!B3:G28,MATCH(8,B4:B29,0),6)</f>
        <v>49</v>
      </c>
    </row>
    <row r="12" spans="2:8" x14ac:dyDescent="0.2">
      <c r="B12" s="6">
        <f>RANK('5do 30 r.ż.'!C11,'5do 30 r.ż.'!$C$3:'5do 30 r.ż.'!$C$28,1)+COUNTIF('5do 30 r.ż.'!$C$3:'5do 30 r.ż.'!C11,'5do 30 r.ż.'!C11)-1</f>
        <v>11</v>
      </c>
      <c r="C12" s="5" t="str">
        <f>INDEX('5do 30 r.ż.'!B3:G28,MATCH(9,B4:B29,0),1)</f>
        <v>stalowowolski</v>
      </c>
      <c r="D12" s="6">
        <f>INDEX('5do 30 r.ż.'!B3:G28,MATCH(9,B4:B29,0),2)</f>
        <v>612</v>
      </c>
      <c r="E12" s="37">
        <f>INDEX('5do 30 r.ż.'!B3:G28,MATCH(9,B4:B29,0),3)</f>
        <v>665</v>
      </c>
      <c r="F12" s="6">
        <f>INDEX('5do 30 r.ż.'!B3:G28,MATCH(9,B4:B29,0),4)</f>
        <v>-53</v>
      </c>
      <c r="G12" s="37">
        <f>INDEX('5do 30 r.ż.'!B3:G28,MATCH(9,B4:B29,0),5)</f>
        <v>565</v>
      </c>
      <c r="H12" s="6">
        <f>INDEX('5do 30 r.ż.'!B3:G28,MATCH(9,B4:B29,0),6)</f>
        <v>47</v>
      </c>
    </row>
    <row r="13" spans="2:8" x14ac:dyDescent="0.2">
      <c r="B13" s="6">
        <f>RANK('5do 30 r.ż.'!C12,'5do 30 r.ż.'!$C$3:'5do 30 r.ż.'!$C$28,1)+COUNTIF('5do 30 r.ż.'!$C$3:'5do 30 r.ż.'!C12,'5do 30 r.ż.'!C12)-1</f>
        <v>6</v>
      </c>
      <c r="C13" s="5" t="str">
        <f>INDEX('5do 30 r.ż.'!B3:G28,MATCH(10,B4:B29,0),1)</f>
        <v>krośnieński</v>
      </c>
      <c r="D13" s="6">
        <f>INDEX('5do 30 r.ż.'!B3:G28,MATCH(10,B4:B29,0),2)</f>
        <v>640</v>
      </c>
      <c r="E13" s="37">
        <f>INDEX('5do 30 r.ż.'!B3:G28,MATCH(10,B4:B29,0),3)</f>
        <v>644</v>
      </c>
      <c r="F13" s="6">
        <f>INDEX('5do 30 r.ż.'!B3:G28,MATCH(10,B4:B29,0),4)</f>
        <v>-4</v>
      </c>
      <c r="G13" s="37">
        <f>INDEX('5do 30 r.ż.'!B3:G28,MATCH(10,B4:B29,0),5)</f>
        <v>580</v>
      </c>
      <c r="H13" s="6">
        <f>INDEX('5do 30 r.ż.'!B3:G28,MATCH(10,B4:B29,0),6)</f>
        <v>60</v>
      </c>
    </row>
    <row r="14" spans="2:8" x14ac:dyDescent="0.2">
      <c r="B14" s="6">
        <f>RANK('5do 30 r.ż.'!C13,'5do 30 r.ż.'!$C$3:'5do 30 r.ż.'!$C$28,1)+COUNTIF('5do 30 r.ż.'!$C$3:'5do 30 r.ż.'!C13,'5do 30 r.ż.'!C13)-1</f>
        <v>13</v>
      </c>
      <c r="C14" s="5" t="str">
        <f>INDEX('5do 30 r.ż.'!B3:G28,MATCH(11,B4:B29,0),1)</f>
        <v>leżajski</v>
      </c>
      <c r="D14" s="6">
        <f>INDEX('5do 30 r.ż.'!B3:G28,MATCH(11,B4:B29,0),2)</f>
        <v>771</v>
      </c>
      <c r="E14" s="37">
        <f>INDEX('5do 30 r.ż.'!B3:G28,MATCH(11,B4:B29,0),3)</f>
        <v>820</v>
      </c>
      <c r="F14" s="6">
        <f>INDEX('5do 30 r.ż.'!B3:G28,MATCH(11,B4:B29,0),4)</f>
        <v>-49</v>
      </c>
      <c r="G14" s="37">
        <f>INDEX('5do 30 r.ż.'!B3:G28,MATCH(11,B4:B29,0),5)</f>
        <v>757</v>
      </c>
      <c r="H14" s="6">
        <f>INDEX('5do 30 r.ż.'!B3:G28,MATCH(11,B4:B29,0),6)</f>
        <v>14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strzyżowski</v>
      </c>
      <c r="D15" s="6">
        <f>INDEX('5do 30 r.ż.'!B3:G28,MATCH(12,B4:B29,0),2)</f>
        <v>776</v>
      </c>
      <c r="E15" s="37">
        <f>INDEX('5do 30 r.ż.'!B3:G28,MATCH(12,B4:B29,0),3)</f>
        <v>798</v>
      </c>
      <c r="F15" s="6">
        <f>INDEX('5do 30 r.ż.'!B3:G28,MATCH(12,B4:B29,0),4)</f>
        <v>-22</v>
      </c>
      <c r="G15" s="37">
        <f>INDEX('5do 30 r.ż.'!B3:G28,MATCH(12,B4:B29,0),5)</f>
        <v>748</v>
      </c>
      <c r="H15" s="6">
        <f>INDEX('5do 30 r.ż.'!B3:G28,MATCH(12,B4:B29,0),6)</f>
        <v>28</v>
      </c>
    </row>
    <row r="16" spans="2:8" x14ac:dyDescent="0.2">
      <c r="B16" s="6">
        <f>RANK('5do 30 r.ż.'!C15,'5do 30 r.ż.'!$C$3:'5do 30 r.ż.'!$C$28,1)+COUNTIF('5do 30 r.ż.'!$C$3:'5do 30 r.ż.'!C15,'5do 30 r.ż.'!C15)-1</f>
        <v>14</v>
      </c>
      <c r="C16" s="5" t="str">
        <f>INDEX('5do 30 r.ż.'!B3:G28,MATCH(13,B4:B29,0),1)</f>
        <v>łańcucki</v>
      </c>
      <c r="D16" s="6">
        <f>INDEX('5do 30 r.ż.'!B3:G28,MATCH(13,B4:B29,0),2)</f>
        <v>786</v>
      </c>
      <c r="E16" s="37">
        <f>INDEX('5do 30 r.ż.'!B3:G28,MATCH(13,B4:B29,0),3)</f>
        <v>793</v>
      </c>
      <c r="F16" s="6">
        <f>INDEX('5do 30 r.ż.'!B3:G28,MATCH(13,B4:B29,0),4)</f>
        <v>-7</v>
      </c>
      <c r="G16" s="37">
        <f>INDEX('5do 30 r.ż.'!B3:G28,MATCH(13,B4:B29,0),5)</f>
        <v>689</v>
      </c>
      <c r="H16" s="6">
        <f>INDEX('5do 30 r.ż.'!B3:G28,MATCH(13,B4:B29,0),6)</f>
        <v>97</v>
      </c>
    </row>
    <row r="17" spans="2:8" x14ac:dyDescent="0.2">
      <c r="B17" s="6">
        <f>RANK('5do 30 r.ż.'!C16,'5do 30 r.ż.'!$C$3:'5do 30 r.ż.'!$C$28,1)+COUNTIF('5do 30 r.ż.'!$C$3:'5do 30 r.ż.'!C16,'5do 30 r.ż.'!C16)-1</f>
        <v>16</v>
      </c>
      <c r="C17" s="5" t="str">
        <f>INDEX('5do 30 r.ż.'!B3:G28,MATCH(14,B4:B29,0),1)</f>
        <v>niżański</v>
      </c>
      <c r="D17" s="6">
        <f>INDEX('5do 30 r.ż.'!B3:G28,MATCH(14,B4:B29,0),2)</f>
        <v>794</v>
      </c>
      <c r="E17" s="37">
        <f>INDEX('5do 30 r.ż.'!B3:G28,MATCH(14,B4:B29,0),3)</f>
        <v>844</v>
      </c>
      <c r="F17" s="6">
        <f>INDEX('5do 30 r.ż.'!B3:G28,MATCH(14,B4:B29,0),4)</f>
        <v>-50</v>
      </c>
      <c r="G17" s="37">
        <f>INDEX('5do 30 r.ż.'!B3:G28,MATCH(14,B4:B29,0),5)</f>
        <v>714</v>
      </c>
      <c r="H17" s="6">
        <f>INDEX('5do 30 r.ż.'!B3:G28,MATCH(14,B4:B29,0),6)</f>
        <v>80</v>
      </c>
    </row>
    <row r="18" spans="2:8" x14ac:dyDescent="0.2">
      <c r="B18" s="6">
        <f>RANK('5do 30 r.ż.'!C17,'5do 30 r.ż.'!$C$3:'5do 30 r.ż.'!$C$28,1)+COUNTIF('5do 30 r.ż.'!$C$3:'5do 30 r.ż.'!C17,'5do 30 r.ż.'!C17)-1</f>
        <v>21</v>
      </c>
      <c r="C18" s="5" t="str">
        <f>INDEX('5do 30 r.ż.'!B3:G28,MATCH(15,B4:B29,0),1)</f>
        <v>sanocki</v>
      </c>
      <c r="D18" s="6">
        <f>INDEX('5do 30 r.ż.'!B3:G28,MATCH(15,B4:B29,0),2)</f>
        <v>799</v>
      </c>
      <c r="E18" s="37">
        <f>INDEX('5do 30 r.ż.'!B3:G28,MATCH(15,B4:B29,0),3)</f>
        <v>842</v>
      </c>
      <c r="F18" s="6">
        <f>INDEX('5do 30 r.ż.'!B3:G28,MATCH(15,B4:B29,0),4)</f>
        <v>-43</v>
      </c>
      <c r="G18" s="37">
        <f>INDEX('5do 30 r.ż.'!B3:G28,MATCH(15,B4:B29,0),5)</f>
        <v>743</v>
      </c>
      <c r="H18" s="6">
        <f>INDEX('5do 30 r.ż.'!B3:G28,MATCH(15,B4:B29,0),6)</f>
        <v>56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przemyski</v>
      </c>
      <c r="D19" s="6">
        <f>INDEX('5do 30 r.ż.'!B3:G28,MATCH(16,B4:B29,0),2)</f>
        <v>812</v>
      </c>
      <c r="E19" s="37">
        <f>INDEX('5do 30 r.ż.'!B3:G28,MATCH(16,B4:B29,0),3)</f>
        <v>854</v>
      </c>
      <c r="F19" s="6">
        <f>INDEX('5do 30 r.ż.'!B3:G28,MATCH(16,B4:B29,0),4)</f>
        <v>-42</v>
      </c>
      <c r="G19" s="37">
        <f>INDEX('5do 30 r.ż.'!B3:G28,MATCH(16,B4:B29,0),5)</f>
        <v>737</v>
      </c>
      <c r="H19" s="6">
        <f>INDEX('5do 30 r.ż.'!B3:G28,MATCH(16,B4:B29,0),6)</f>
        <v>75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ropczycko-sędziszowski</v>
      </c>
      <c r="D20" s="6">
        <f>INDEX('5do 30 r.ż.'!B3:G28,MATCH(17,B4:B29,0),2)</f>
        <v>862</v>
      </c>
      <c r="E20" s="37">
        <f>INDEX('5do 30 r.ż.'!B3:G28,MATCH(17,B4:B29,0),3)</f>
        <v>880</v>
      </c>
      <c r="F20" s="6">
        <f>INDEX('5do 30 r.ż.'!B3:G28,MATCH(17,B4:B29,0),4)</f>
        <v>-18</v>
      </c>
      <c r="G20" s="37">
        <f>INDEX('5do 30 r.ż.'!B3:G28,MATCH(17,B4:B29,0),5)</f>
        <v>808</v>
      </c>
      <c r="H20" s="6">
        <f>INDEX('5do 30 r.ż.'!B3:G28,MATCH(17,B4:B29,0),6)</f>
        <v>54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dębicki</v>
      </c>
      <c r="D21" s="6">
        <f>INDEX('5do 30 r.ż.'!B3:G28,MATCH(18,B4:B29,0),2)</f>
        <v>874</v>
      </c>
      <c r="E21" s="37">
        <f>INDEX('5do 30 r.ż.'!B3:G28,MATCH(18,B4:B29,0),3)</f>
        <v>898</v>
      </c>
      <c r="F21" s="6">
        <f>INDEX('5do 30 r.ż.'!B3:G28,MATCH(18,B4:B29,0),4)</f>
        <v>-24</v>
      </c>
      <c r="G21" s="37">
        <f>INDEX('5do 30 r.ż.'!B3:G28,MATCH(18,B4:B29,0),5)</f>
        <v>656</v>
      </c>
      <c r="H21" s="6">
        <f>INDEX('5do 30 r.ż.'!B3:G28,MATCH(18,B4:B29,0),6)</f>
        <v>218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mielecki</v>
      </c>
      <c r="D22" s="6">
        <f>INDEX('5do 30 r.ż.'!B3:G28,MATCH(19,B4:B29,0),2)</f>
        <v>898</v>
      </c>
      <c r="E22" s="37">
        <f>INDEX('5do 30 r.ż.'!B3:G28,MATCH(19,B4:B29,0),3)</f>
        <v>921</v>
      </c>
      <c r="F22" s="6">
        <f>INDEX('5do 30 r.ż.'!B3:G28,MATCH(19,B4:B29,0),4)</f>
        <v>-23</v>
      </c>
      <c r="G22" s="37">
        <f>INDEX('5do 30 r.ż.'!B3:G28,MATCH(19,B4:B29,0),5)</f>
        <v>762</v>
      </c>
      <c r="H22" s="6">
        <f>INDEX('5do 30 r.ż.'!B3:G28,MATCH(19,B4:B29,0),6)</f>
        <v>136</v>
      </c>
    </row>
    <row r="23" spans="2:8" x14ac:dyDescent="0.2">
      <c r="B23" s="6">
        <f>RANK('5do 30 r.ż.'!C22,'5do 30 r.ż.'!$C$3:'5do 30 r.ż.'!$C$28,1)+COUNTIF('5do 30 r.ż.'!$C$3:'5do 30 r.ż.'!C22,'5do 30 r.ż.'!C22)-1</f>
        <v>12</v>
      </c>
      <c r="C23" s="5" t="str">
        <f>INDEX('5do 30 r.ż.'!B3:G28,MATCH(20,B4:B29,0),1)</f>
        <v>brzozowski</v>
      </c>
      <c r="D23" s="6">
        <f>INDEX('5do 30 r.ż.'!B3:G28,MATCH(20,B4:B29,0),2)</f>
        <v>920</v>
      </c>
      <c r="E23" s="37">
        <f>INDEX('5do 30 r.ż.'!B3:G28,MATCH(20,B4:B29,0),3)</f>
        <v>953</v>
      </c>
      <c r="F23" s="6">
        <f>INDEX('5do 30 r.ż.'!B3:G28,MATCH(20,B4:B29,0),4)</f>
        <v>-33</v>
      </c>
      <c r="G23" s="37">
        <f>INDEX('5do 30 r.ż.'!B3:G28,MATCH(20,B4:B29,0),5)</f>
        <v>924</v>
      </c>
      <c r="H23" s="6">
        <f>INDEX('5do 30 r.ż.'!B3:G28,MATCH(20,B4:B29,0),6)</f>
        <v>-4</v>
      </c>
    </row>
    <row r="24" spans="2:8" x14ac:dyDescent="0.2">
      <c r="B24" s="6">
        <f>RANK('5do 30 r.ż.'!C23,'5do 30 r.ż.'!$C$3:'5do 30 r.ż.'!$C$28,1)+COUNTIF('5do 30 r.ż.'!$C$3:'5do 30 r.ż.'!C23,'5do 30 r.ż.'!C23)-1</f>
        <v>5</v>
      </c>
      <c r="C24" s="5" t="str">
        <f>INDEX('5do 30 r.ż.'!B3:G28,MATCH(21,B4:B29,0),1)</f>
        <v>przeworski</v>
      </c>
      <c r="D24" s="6">
        <f>INDEX('5do 30 r.ż.'!B3:G28,MATCH(21,B4:B29,0),2)</f>
        <v>927</v>
      </c>
      <c r="E24" s="37">
        <f>INDEX('5do 30 r.ż.'!B3:G28,MATCH(21,B4:B29,0),3)</f>
        <v>947</v>
      </c>
      <c r="F24" s="6">
        <f>INDEX('5do 30 r.ż.'!B3:G28,MATCH(21,B4:B29,0),4)</f>
        <v>-20</v>
      </c>
      <c r="G24" s="37">
        <f>INDEX('5do 30 r.ż.'!B3:G28,MATCH(21,B4:B29,0),5)</f>
        <v>868</v>
      </c>
      <c r="H24" s="6">
        <f>INDEX('5do 30 r.ż.'!B3:G28,MATCH(21,B4:B29,0),6)</f>
        <v>59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1129</v>
      </c>
      <c r="E25" s="37">
        <f>INDEX('5do 30 r.ż.'!B3:G28,MATCH(22,B4:B29,0),3)</f>
        <v>1178</v>
      </c>
      <c r="F25" s="6">
        <f>INDEX('5do 30 r.ż.'!B3:G28,MATCH(22,B4:B29,0),4)</f>
        <v>-49</v>
      </c>
      <c r="G25" s="37">
        <f>INDEX('5do 30 r.ż.'!B3:G28,MATCH(22,B4:B29,0),5)</f>
        <v>953</v>
      </c>
      <c r="H25" s="6">
        <f>INDEX('5do 30 r.ż.'!B3:G28,MATCH(22,B4:B29,0),6)</f>
        <v>176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1160</v>
      </c>
      <c r="E26" s="37">
        <f>INDEX('5do 30 r.ż.'!B3:G28,MATCH(23,B4:B29,0),3)</f>
        <v>1235</v>
      </c>
      <c r="F26" s="6">
        <f>INDEX('5do 30 r.ż.'!B3:G28,MATCH(23,B4:B29,0),4)</f>
        <v>-75</v>
      </c>
      <c r="G26" s="37">
        <f>INDEX('5do 30 r.ż.'!B3:G28,MATCH(23,B4:B29,0),5)</f>
        <v>1103</v>
      </c>
      <c r="H26" s="6">
        <f>INDEX('5do 30 r.ż.'!B3:G28,MATCH(23,B4:B29,0),6)</f>
        <v>57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rzeszowski</v>
      </c>
      <c r="D27" s="6">
        <f>INDEX('5do 30 r.ż.'!B3:G28,MATCH(24,B4:B29,0),2)</f>
        <v>1215</v>
      </c>
      <c r="E27" s="37">
        <f>INDEX('5do 30 r.ż.'!B3:G28,MATCH(24,B4:B29,0),3)</f>
        <v>1272</v>
      </c>
      <c r="F27" s="6">
        <f>INDEX('5do 30 r.ż.'!B3:G28,MATCH(24,B4:B29,0),4)</f>
        <v>-57</v>
      </c>
      <c r="G27" s="37">
        <f>INDEX('5do 30 r.ż.'!B3:G28,MATCH(24,B4:B29,0),5)</f>
        <v>1216</v>
      </c>
      <c r="H27" s="6">
        <f>INDEX('5do 30 r.ż.'!B3:G28,MATCH(24,B4:B29,0),6)</f>
        <v>-1</v>
      </c>
    </row>
    <row r="28" spans="2:8" x14ac:dyDescent="0.2">
      <c r="B28" s="6">
        <f>RANK('5do 30 r.ż.'!C27,'5do 30 r.ż.'!$C$3:'5do 30 r.ż.'!$C$28,1)+COUNTIF('5do 30 r.ż.'!$C$3:'5do 30 r.ż.'!C27,'5do 30 r.ż.'!C27)-1</f>
        <v>3</v>
      </c>
      <c r="C28" s="5" t="str">
        <f>INDEX('5do 30 r.ż.'!B3:G28,MATCH(25,B4:B29,0),1)</f>
        <v>jasielski</v>
      </c>
      <c r="D28" s="6">
        <f>INDEX('5do 30 r.ż.'!B3:G28,MATCH(25,B4:B29,0),2)</f>
        <v>1365</v>
      </c>
      <c r="E28" s="37">
        <f>INDEX('5do 30 r.ż.'!B3:G28,MATCH(25,B4:B29,0),3)</f>
        <v>1399</v>
      </c>
      <c r="F28" s="6">
        <f>INDEX('5do 30 r.ż.'!B3:G28,MATCH(25,B4:B29,0),4)</f>
        <v>-34</v>
      </c>
      <c r="G28" s="37">
        <f>INDEX('5do 30 r.ż.'!B3:G28,MATCH(25,B4:B29,0),5)</f>
        <v>1150</v>
      </c>
      <c r="H28" s="6">
        <f>INDEX('5do 30 r.ż.'!B3:G28,MATCH(25,B4:B29,0),6)</f>
        <v>215</v>
      </c>
    </row>
    <row r="29" spans="2:8" ht="15" x14ac:dyDescent="0.25">
      <c r="B29" s="35">
        <f>RANK('5do 30 r.ż.'!C28,'5do 30 r.ż.'!$C$3:'5do 30 r.ż.'!$C$28,1)+COUNTIF('5do 30 r.ż.'!$C$3:'5do 30 r.ż.'!C28,'5do 30 r.ż.'!C28)-1</f>
        <v>26</v>
      </c>
      <c r="C29" s="34" t="str">
        <f>INDEX('5do 30 r.ż.'!B3:G28,MATCH(26,B4:B29,0),1)</f>
        <v>województwo</v>
      </c>
      <c r="D29" s="35">
        <f>INDEX('5do 30 r.ż.'!B3:G28,MATCH(26,B4:B29,0),2)</f>
        <v>18228</v>
      </c>
      <c r="E29" s="39">
        <f>INDEX('5do 30 r.ż.'!B3:G28,MATCH(26,B4:B29,0),3)</f>
        <v>18938</v>
      </c>
      <c r="F29" s="35">
        <f>INDEX('5do 30 r.ż.'!B3:G28,MATCH(26,B4:B29,0),4)</f>
        <v>-710</v>
      </c>
      <c r="G29" s="39">
        <f>INDEX('5do 30 r.ż.'!B3:G28,MATCH(26,B4:B29,0),5)</f>
        <v>16572</v>
      </c>
      <c r="H29" s="35">
        <f>INDEX('5do 30 r.ż.'!B3:G28,MATCH(26,B4:B29,0),6)</f>
        <v>1656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71</v>
      </c>
      <c r="C1" s="24"/>
      <c r="D1" s="24"/>
      <c r="E1" s="24"/>
      <c r="F1" s="24"/>
      <c r="G1" s="24"/>
    </row>
    <row r="2" spans="2:8" ht="57.75" x14ac:dyDescent="0.2">
      <c r="B2" s="31" t="s">
        <v>27</v>
      </c>
      <c r="C2" s="32" t="s">
        <v>99</v>
      </c>
      <c r="D2" s="33" t="s">
        <v>101</v>
      </c>
      <c r="E2" s="32" t="s">
        <v>28</v>
      </c>
      <c r="F2" s="33" t="s">
        <v>100</v>
      </c>
      <c r="G2" s="32" t="s">
        <v>26</v>
      </c>
    </row>
    <row r="3" spans="2:8" x14ac:dyDescent="0.2">
      <c r="B3" s="5" t="s">
        <v>0</v>
      </c>
      <c r="C3" s="23">
        <v>253</v>
      </c>
      <c r="D3" s="37">
        <v>259</v>
      </c>
      <c r="E3" s="23">
        <f t="shared" ref="E3:E27" si="0">SUM(C3)-D3</f>
        <v>-6</v>
      </c>
      <c r="F3" s="37">
        <v>241</v>
      </c>
      <c r="G3" s="23">
        <f t="shared" ref="G3:G27" si="1">SUM(C3)-F3</f>
        <v>12</v>
      </c>
      <c r="H3" s="7"/>
    </row>
    <row r="4" spans="2:8" x14ac:dyDescent="0.2">
      <c r="B4" s="5" t="s">
        <v>1</v>
      </c>
      <c r="C4" s="23">
        <v>840</v>
      </c>
      <c r="D4" s="37">
        <v>863</v>
      </c>
      <c r="E4" s="23">
        <f t="shared" si="0"/>
        <v>-23</v>
      </c>
      <c r="F4" s="37">
        <v>858</v>
      </c>
      <c r="G4" s="23">
        <f t="shared" si="1"/>
        <v>-18</v>
      </c>
      <c r="H4" s="7"/>
    </row>
    <row r="5" spans="2:8" x14ac:dyDescent="0.2">
      <c r="B5" s="5" t="s">
        <v>2</v>
      </c>
      <c r="C5" s="23">
        <v>597</v>
      </c>
      <c r="D5" s="37">
        <v>611</v>
      </c>
      <c r="E5" s="23">
        <f t="shared" si="0"/>
        <v>-14</v>
      </c>
      <c r="F5" s="37">
        <v>512</v>
      </c>
      <c r="G5" s="23">
        <f t="shared" si="1"/>
        <v>85</v>
      </c>
      <c r="H5" s="7"/>
    </row>
    <row r="6" spans="2:8" x14ac:dyDescent="0.2">
      <c r="B6" s="5" t="s">
        <v>3</v>
      </c>
      <c r="C6" s="23">
        <v>1146</v>
      </c>
      <c r="D6" s="37">
        <v>1174</v>
      </c>
      <c r="E6" s="23">
        <f t="shared" si="0"/>
        <v>-28</v>
      </c>
      <c r="F6" s="37">
        <v>1097</v>
      </c>
      <c r="G6" s="23">
        <f t="shared" si="1"/>
        <v>49</v>
      </c>
      <c r="H6" s="7"/>
    </row>
    <row r="7" spans="2:8" x14ac:dyDescent="0.2">
      <c r="B7" s="5" t="s">
        <v>4</v>
      </c>
      <c r="C7" s="23">
        <v>1247</v>
      </c>
      <c r="D7" s="37">
        <v>1256</v>
      </c>
      <c r="E7" s="23">
        <f t="shared" si="0"/>
        <v>-9</v>
      </c>
      <c r="F7" s="37">
        <v>1083</v>
      </c>
      <c r="G7" s="23">
        <f t="shared" si="1"/>
        <v>164</v>
      </c>
      <c r="H7" s="7"/>
    </row>
    <row r="8" spans="2:8" x14ac:dyDescent="0.2">
      <c r="B8" s="5" t="s">
        <v>5</v>
      </c>
      <c r="C8" s="23">
        <v>435</v>
      </c>
      <c r="D8" s="37">
        <v>444</v>
      </c>
      <c r="E8" s="23">
        <f t="shared" si="0"/>
        <v>-9</v>
      </c>
      <c r="F8" s="37">
        <v>402</v>
      </c>
      <c r="G8" s="23">
        <f t="shared" si="1"/>
        <v>33</v>
      </c>
      <c r="H8" s="7"/>
    </row>
    <row r="9" spans="2:8" x14ac:dyDescent="0.2">
      <c r="B9" s="9" t="s">
        <v>6</v>
      </c>
      <c r="C9" s="23">
        <v>675</v>
      </c>
      <c r="D9" s="37">
        <v>694</v>
      </c>
      <c r="E9" s="23">
        <f t="shared" si="0"/>
        <v>-19</v>
      </c>
      <c r="F9" s="37">
        <v>651</v>
      </c>
      <c r="G9" s="23">
        <f t="shared" si="1"/>
        <v>24</v>
      </c>
      <c r="H9" s="7"/>
    </row>
    <row r="10" spans="2:8" x14ac:dyDescent="0.2">
      <c r="B10" s="5" t="s">
        <v>7</v>
      </c>
      <c r="C10" s="23">
        <v>415</v>
      </c>
      <c r="D10" s="37">
        <v>443</v>
      </c>
      <c r="E10" s="23">
        <f t="shared" si="0"/>
        <v>-28</v>
      </c>
      <c r="F10" s="37">
        <v>404</v>
      </c>
      <c r="G10" s="23">
        <f t="shared" si="1"/>
        <v>11</v>
      </c>
      <c r="H10" s="7"/>
    </row>
    <row r="11" spans="2:8" x14ac:dyDescent="0.2">
      <c r="B11" s="5" t="s">
        <v>8</v>
      </c>
      <c r="C11" s="23">
        <v>653</v>
      </c>
      <c r="D11" s="37">
        <v>669</v>
      </c>
      <c r="E11" s="23">
        <f t="shared" si="0"/>
        <v>-16</v>
      </c>
      <c r="F11" s="37">
        <v>662</v>
      </c>
      <c r="G11" s="23">
        <f t="shared" si="1"/>
        <v>-9</v>
      </c>
      <c r="H11" s="7"/>
    </row>
    <row r="12" spans="2:8" x14ac:dyDescent="0.2">
      <c r="B12" s="5" t="s">
        <v>9</v>
      </c>
      <c r="C12" s="23">
        <v>451</v>
      </c>
      <c r="D12" s="37">
        <v>462</v>
      </c>
      <c r="E12" s="23">
        <f t="shared" si="0"/>
        <v>-11</v>
      </c>
      <c r="F12" s="37">
        <v>423</v>
      </c>
      <c r="G12" s="23">
        <f t="shared" si="1"/>
        <v>28</v>
      </c>
      <c r="H12" s="7"/>
    </row>
    <row r="13" spans="2:8" x14ac:dyDescent="0.2">
      <c r="B13" s="5" t="s">
        <v>10</v>
      </c>
      <c r="C13" s="23">
        <v>603</v>
      </c>
      <c r="D13" s="37">
        <v>613</v>
      </c>
      <c r="E13" s="23">
        <f t="shared" si="0"/>
        <v>-10</v>
      </c>
      <c r="F13" s="37">
        <v>583</v>
      </c>
      <c r="G13" s="23">
        <f t="shared" si="1"/>
        <v>20</v>
      </c>
      <c r="H13" s="7"/>
    </row>
    <row r="14" spans="2:8" x14ac:dyDescent="0.2">
      <c r="B14" s="5" t="s">
        <v>11</v>
      </c>
      <c r="C14" s="23">
        <v>840</v>
      </c>
      <c r="D14" s="37">
        <v>823</v>
      </c>
      <c r="E14" s="23">
        <f t="shared" si="0"/>
        <v>17</v>
      </c>
      <c r="F14" s="37">
        <v>771</v>
      </c>
      <c r="G14" s="23">
        <f t="shared" si="1"/>
        <v>69</v>
      </c>
      <c r="H14" s="7"/>
    </row>
    <row r="15" spans="2:8" x14ac:dyDescent="0.2">
      <c r="B15" s="5" t="s">
        <v>12</v>
      </c>
      <c r="C15" s="23">
        <v>705</v>
      </c>
      <c r="D15" s="37">
        <v>705</v>
      </c>
      <c r="E15" s="23">
        <f t="shared" si="0"/>
        <v>0</v>
      </c>
      <c r="F15" s="37">
        <v>681</v>
      </c>
      <c r="G15" s="23">
        <f t="shared" si="1"/>
        <v>24</v>
      </c>
      <c r="H15" s="7"/>
    </row>
    <row r="16" spans="2:8" x14ac:dyDescent="0.2">
      <c r="B16" s="5" t="s">
        <v>13</v>
      </c>
      <c r="C16" s="23">
        <v>753</v>
      </c>
      <c r="D16" s="37">
        <v>753</v>
      </c>
      <c r="E16" s="23">
        <f t="shared" si="0"/>
        <v>0</v>
      </c>
      <c r="F16" s="37">
        <v>714</v>
      </c>
      <c r="G16" s="23">
        <f t="shared" si="1"/>
        <v>39</v>
      </c>
      <c r="H16" s="7"/>
    </row>
    <row r="17" spans="2:8" x14ac:dyDescent="0.2">
      <c r="B17" s="5" t="s">
        <v>14</v>
      </c>
      <c r="C17" s="23">
        <v>808</v>
      </c>
      <c r="D17" s="37">
        <v>823</v>
      </c>
      <c r="E17" s="23">
        <f t="shared" si="0"/>
        <v>-15</v>
      </c>
      <c r="F17" s="37">
        <v>726</v>
      </c>
      <c r="G17" s="23">
        <f t="shared" si="1"/>
        <v>82</v>
      </c>
      <c r="H17" s="7"/>
    </row>
    <row r="18" spans="2:8" x14ac:dyDescent="0.2">
      <c r="B18" s="5" t="s">
        <v>15</v>
      </c>
      <c r="C18" s="23">
        <v>589</v>
      </c>
      <c r="D18" s="37">
        <v>600</v>
      </c>
      <c r="E18" s="23">
        <f t="shared" si="0"/>
        <v>-11</v>
      </c>
      <c r="F18" s="37">
        <v>571</v>
      </c>
      <c r="G18" s="23">
        <f t="shared" si="1"/>
        <v>18</v>
      </c>
      <c r="H18" s="7"/>
    </row>
    <row r="19" spans="2:8" x14ac:dyDescent="0.2">
      <c r="B19" s="5" t="s">
        <v>16</v>
      </c>
      <c r="C19" s="23">
        <v>1161</v>
      </c>
      <c r="D19" s="37">
        <v>1198</v>
      </c>
      <c r="E19" s="23">
        <f t="shared" si="0"/>
        <v>-37</v>
      </c>
      <c r="F19" s="37">
        <v>1078</v>
      </c>
      <c r="G19" s="23">
        <f t="shared" si="1"/>
        <v>83</v>
      </c>
      <c r="H19" s="7"/>
    </row>
    <row r="20" spans="2:8" x14ac:dyDescent="0.2">
      <c r="B20" s="5" t="s">
        <v>17</v>
      </c>
      <c r="C20" s="23">
        <v>702</v>
      </c>
      <c r="D20" s="37">
        <v>732</v>
      </c>
      <c r="E20" s="23">
        <f t="shared" si="0"/>
        <v>-30</v>
      </c>
      <c r="F20" s="37">
        <v>660</v>
      </c>
      <c r="G20" s="23">
        <f t="shared" si="1"/>
        <v>42</v>
      </c>
      <c r="H20" s="7"/>
    </row>
    <row r="21" spans="2:8" x14ac:dyDescent="0.2">
      <c r="B21" s="5" t="s">
        <v>18</v>
      </c>
      <c r="C21" s="23">
        <v>609</v>
      </c>
      <c r="D21" s="37">
        <v>630</v>
      </c>
      <c r="E21" s="23">
        <f t="shared" si="0"/>
        <v>-21</v>
      </c>
      <c r="F21" s="37">
        <v>544</v>
      </c>
      <c r="G21" s="23">
        <f t="shared" si="1"/>
        <v>65</v>
      </c>
      <c r="H21" s="7"/>
    </row>
    <row r="22" spans="2:8" x14ac:dyDescent="0.2">
      <c r="B22" s="5" t="s">
        <v>19</v>
      </c>
      <c r="C22" s="23">
        <v>777</v>
      </c>
      <c r="D22" s="37">
        <v>791</v>
      </c>
      <c r="E22" s="23">
        <f t="shared" si="0"/>
        <v>-14</v>
      </c>
      <c r="F22" s="37">
        <v>742</v>
      </c>
      <c r="G22" s="23">
        <f t="shared" si="1"/>
        <v>35</v>
      </c>
      <c r="H22" s="7"/>
    </row>
    <row r="23" spans="2:8" x14ac:dyDescent="0.2">
      <c r="B23" s="5" t="s">
        <v>20</v>
      </c>
      <c r="C23" s="23">
        <v>374</v>
      </c>
      <c r="D23" s="37">
        <v>389</v>
      </c>
      <c r="E23" s="23">
        <f t="shared" si="0"/>
        <v>-15</v>
      </c>
      <c r="F23" s="37">
        <v>342</v>
      </c>
      <c r="G23" s="23">
        <f t="shared" si="1"/>
        <v>32</v>
      </c>
      <c r="H23" s="7"/>
    </row>
    <row r="24" spans="2:8" x14ac:dyDescent="0.2">
      <c r="B24" s="5" t="s">
        <v>21</v>
      </c>
      <c r="C24" s="23">
        <v>260</v>
      </c>
      <c r="D24" s="37">
        <v>262</v>
      </c>
      <c r="E24" s="23">
        <f t="shared" si="0"/>
        <v>-2</v>
      </c>
      <c r="F24" s="37">
        <v>211</v>
      </c>
      <c r="G24" s="23">
        <f t="shared" si="1"/>
        <v>49</v>
      </c>
      <c r="H24" s="7"/>
    </row>
    <row r="25" spans="2:8" x14ac:dyDescent="0.2">
      <c r="B25" s="5" t="s">
        <v>22</v>
      </c>
      <c r="C25" s="23">
        <v>770</v>
      </c>
      <c r="D25" s="37">
        <v>770</v>
      </c>
      <c r="E25" s="23">
        <f t="shared" si="0"/>
        <v>0</v>
      </c>
      <c r="F25" s="37">
        <v>713</v>
      </c>
      <c r="G25" s="23">
        <f t="shared" si="1"/>
        <v>57</v>
      </c>
      <c r="H25" s="7"/>
    </row>
    <row r="26" spans="2:8" x14ac:dyDescent="0.2">
      <c r="B26" s="5" t="s">
        <v>23</v>
      </c>
      <c r="C26" s="23">
        <v>1363</v>
      </c>
      <c r="D26" s="37">
        <v>1369</v>
      </c>
      <c r="E26" s="23">
        <f t="shared" si="0"/>
        <v>-6</v>
      </c>
      <c r="F26" s="37">
        <v>1310</v>
      </c>
      <c r="G26" s="23">
        <f t="shared" si="1"/>
        <v>53</v>
      </c>
      <c r="H26" s="7"/>
    </row>
    <row r="27" spans="2:8" x14ac:dyDescent="0.2">
      <c r="B27" s="5" t="s">
        <v>24</v>
      </c>
      <c r="C27" s="23">
        <v>333</v>
      </c>
      <c r="D27" s="37">
        <v>335</v>
      </c>
      <c r="E27" s="23">
        <f t="shared" si="0"/>
        <v>-2</v>
      </c>
      <c r="F27" s="37">
        <v>279</v>
      </c>
      <c r="G27" s="23">
        <f t="shared" si="1"/>
        <v>54</v>
      </c>
      <c r="H27" s="7"/>
    </row>
    <row r="28" spans="2:8" ht="15" x14ac:dyDescent="0.25">
      <c r="B28" s="34" t="s">
        <v>25</v>
      </c>
      <c r="C28" s="43">
        <f>SUM(C3:C27)</f>
        <v>17359</v>
      </c>
      <c r="D28" s="39">
        <f>SUM(D3:D27)</f>
        <v>17668</v>
      </c>
      <c r="E28" s="43">
        <f>SUM(E3:E27)</f>
        <v>-309</v>
      </c>
      <c r="F28" s="39">
        <f>SUM(F3:F27)</f>
        <v>16258</v>
      </c>
      <c r="G28" s="43">
        <f>SUM(G3:G27)</f>
        <v>1101</v>
      </c>
      <c r="H28" s="7"/>
    </row>
    <row r="29" spans="2:8" x14ac:dyDescent="0.2">
      <c r="C29" s="14"/>
      <c r="E29" s="14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T('6pow. 50 r.ż.'!B2)</f>
        <v>powiaty</v>
      </c>
      <c r="D3" s="31" t="str">
        <f>T('6pow. 50 r.ż.'!C2)</f>
        <v>liczba bezrobotnych 50+ stan na 31-05-'26 r.</v>
      </c>
      <c r="E3" s="31" t="str">
        <f>T('6pow. 50 r.ż.'!D2)</f>
        <v>liczba bezrobotnych 50+ stan na 30-04-'26 r.</v>
      </c>
      <c r="F3" s="31" t="str">
        <f>T('6pow. 50 r.ż.'!E2)</f>
        <v>wzrost/spadek do poprzedniego  miesiąca</v>
      </c>
      <c r="G3" s="31" t="str">
        <f>T('6pow. 50 r.ż.'!F2)</f>
        <v>liczba bezrobotnych 50+ stan na 31-05-'25 r.</v>
      </c>
      <c r="H3" s="31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1</v>
      </c>
      <c r="C4" s="5" t="str">
        <f>INDEX('6pow. 50 r.ż.'!B3:G28,MATCH(1,B4:B29,0),1)</f>
        <v>bieszczadzki</v>
      </c>
      <c r="D4" s="19">
        <f>INDEX('6pow. 50 r.ż.'!B3:G28,MATCH(1,B4:B29,0),2)</f>
        <v>253</v>
      </c>
      <c r="E4" s="37">
        <f>INDEX('6pow. 50 r.ż.'!B3:G28,MATCH(1,B4:B29,0),3)</f>
        <v>259</v>
      </c>
      <c r="F4" s="6">
        <f>INDEX('6pow. 50 r.ż.'!B3:G28,MATCH(1,B4:B29,0),4)</f>
        <v>-6</v>
      </c>
      <c r="G4" s="37">
        <f>INDEX('6pow. 50 r.ż.'!B3:G28,MATCH(1,B4:B29,0),5)</f>
        <v>241</v>
      </c>
      <c r="H4" s="6">
        <f>INDEX('6pow. 50 r.ż.'!B3:G28,MATCH(1,B4:B29,0),6)</f>
        <v>12</v>
      </c>
    </row>
    <row r="5" spans="2:8" x14ac:dyDescent="0.2">
      <c r="B5" s="6">
        <f>RANK('6pow. 50 r.ż.'!C4,'6pow. 50 r.ż.'!$C$3:'6pow. 50 r.ż.'!$C$28,1)+COUNTIF('6pow. 50 r.ż.'!$C$3:'6pow. 50 r.ż.'!C4,'6pow. 50 r.ż.'!C4)-1</f>
        <v>20</v>
      </c>
      <c r="C5" s="5" t="str">
        <f>INDEX('6pow. 50 r.ż.'!B3:G28,MATCH(2,B4:B29,0),1)</f>
        <v>Krosno</v>
      </c>
      <c r="D5" s="6">
        <f>INDEX('6pow. 50 r.ż.'!B3:G28,MATCH(2,B4:B29,0),2)</f>
        <v>260</v>
      </c>
      <c r="E5" s="37">
        <f>INDEX('6pow. 50 r.ż.'!B3:G28,MATCH(2,B4:B29,0),3)</f>
        <v>262</v>
      </c>
      <c r="F5" s="6">
        <f>INDEX('6pow. 50 r.ż.'!B3:G28,MATCH(2,B4:B29,0),4)</f>
        <v>-2</v>
      </c>
      <c r="G5" s="37">
        <f>INDEX('6pow. 50 r.ż.'!B3:G28,MATCH(2,B4:B29,0),5)</f>
        <v>211</v>
      </c>
      <c r="H5" s="6">
        <f>INDEX('6pow. 50 r.ż.'!B3:G28,MATCH(2,B4:B29,0),6)</f>
        <v>49</v>
      </c>
    </row>
    <row r="6" spans="2:8" x14ac:dyDescent="0.2">
      <c r="B6" s="6">
        <f>RANK('6pow. 50 r.ż.'!C5,'6pow. 50 r.ż.'!$C$3:'6pow. 50 r.ż.'!$C$28,1)+COUNTIF('6pow. 50 r.ż.'!$C$3:'6pow. 50 r.ż.'!C5,'6pow. 50 r.ż.'!C5)-1</f>
        <v>9</v>
      </c>
      <c r="C6" s="5" t="str">
        <f>INDEX('6pow. 50 r.ż.'!B3:G28,MATCH(3,B4:B29,0),1)</f>
        <v>Tarnobrzeg</v>
      </c>
      <c r="D6" s="6">
        <f>INDEX('6pow. 50 r.ż.'!B3:G28,MATCH(3,B4:B29,0),2)</f>
        <v>333</v>
      </c>
      <c r="E6" s="37">
        <f>INDEX('6pow. 50 r.ż.'!B3:G28,MATCH(3,B4:B29,0),3)</f>
        <v>335</v>
      </c>
      <c r="F6" s="6">
        <f>INDEX('6pow. 50 r.ż.'!B3:G28,MATCH(3,B4:B29,0),4)</f>
        <v>-2</v>
      </c>
      <c r="G6" s="37">
        <f>INDEX('6pow. 50 r.ż.'!B3:G28,MATCH(3,B4:B29,0),5)</f>
        <v>279</v>
      </c>
      <c r="H6" s="6">
        <f>INDEX('6pow. 50 r.ż.'!B3:G28,MATCH(3,B4:B29,0),6)</f>
        <v>54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374</v>
      </c>
      <c r="E7" s="37">
        <f>INDEX('6pow. 50 r.ż.'!B3:G28,MATCH(4,B4:B29,0),3)</f>
        <v>389</v>
      </c>
      <c r="F7" s="6">
        <f>INDEX('6pow. 50 r.ż.'!B3:G28,MATCH(4,B4:B29,0),4)</f>
        <v>-15</v>
      </c>
      <c r="G7" s="37">
        <f>INDEX('6pow. 50 r.ż.'!B3:G28,MATCH(4,B4:B29,0),5)</f>
        <v>342</v>
      </c>
      <c r="H7" s="6">
        <f>INDEX('6pow. 50 r.ż.'!B3:G28,MATCH(4,B4:B29,0),6)</f>
        <v>32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leski</v>
      </c>
      <c r="D8" s="6">
        <f>INDEX('6pow. 50 r.ż.'!B3:G28,MATCH(5,B4:B29,0),2)</f>
        <v>415</v>
      </c>
      <c r="E8" s="37">
        <f>INDEX('6pow. 50 r.ż.'!B3:G28,MATCH(5,B4:B29,0),3)</f>
        <v>443</v>
      </c>
      <c r="F8" s="6">
        <f>INDEX('6pow. 50 r.ż.'!B3:G28,MATCH(5,B4:B29,0),4)</f>
        <v>-28</v>
      </c>
      <c r="G8" s="37">
        <f>INDEX('6pow. 50 r.ż.'!B3:G28,MATCH(5,B4:B29,0),5)</f>
        <v>404</v>
      </c>
      <c r="H8" s="6">
        <f>INDEX('6pow. 50 r.ż.'!B3:G28,MATCH(5,B4:B29,0),6)</f>
        <v>11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435</v>
      </c>
      <c r="E9" s="37">
        <f>INDEX('6pow. 50 r.ż.'!B3:G28,MATCH(6,B4:B29,0),3)</f>
        <v>444</v>
      </c>
      <c r="F9" s="6">
        <f>INDEX('6pow. 50 r.ż.'!B3:G28,MATCH(6,B4:B29,0),4)</f>
        <v>-9</v>
      </c>
      <c r="G9" s="37">
        <f>INDEX('6pow. 50 r.ż.'!B3:G28,MATCH(6,B4:B29,0),5)</f>
        <v>402</v>
      </c>
      <c r="H9" s="6">
        <f>INDEX('6pow. 50 r.ż.'!B3:G28,MATCH(6,B4:B29,0),6)</f>
        <v>33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451</v>
      </c>
      <c r="E10" s="37">
        <f>INDEX('6pow. 50 r.ż.'!B3:G28,MATCH(7,B4:B29,0),3)</f>
        <v>462</v>
      </c>
      <c r="F10" s="6">
        <f>INDEX('6pow. 50 r.ż.'!B3:G28,MATCH(7,B4:B29,0),4)</f>
        <v>-11</v>
      </c>
      <c r="G10" s="37">
        <f>INDEX('6pow. 50 r.ż.'!B3:G28,MATCH(7,B4:B29,0),5)</f>
        <v>423</v>
      </c>
      <c r="H10" s="6">
        <f>INDEX('6pow. 50 r.ż.'!B3:G28,MATCH(7,B4:B29,0),6)</f>
        <v>28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ropczycko-sędziszowski</v>
      </c>
      <c r="D11" s="6">
        <f>INDEX('6pow. 50 r.ż.'!B3:G28,MATCH(8,B4:B29,0),2)</f>
        <v>589</v>
      </c>
      <c r="E11" s="37">
        <f>INDEX('6pow. 50 r.ż.'!B3:G28,MATCH(8,B4:B29,0),3)</f>
        <v>600</v>
      </c>
      <c r="F11" s="6">
        <f>INDEX('6pow. 50 r.ż.'!B3:G28,MATCH(8,B4:B29,0),4)</f>
        <v>-11</v>
      </c>
      <c r="G11" s="37">
        <f>INDEX('6pow. 50 r.ż.'!B3:G28,MATCH(8,B4:B29,0),5)</f>
        <v>571</v>
      </c>
      <c r="H11" s="6">
        <f>INDEX('6pow. 50 r.ż.'!B3:G28,MATCH(8,B4:B29,0),6)</f>
        <v>18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dębicki</v>
      </c>
      <c r="D12" s="6">
        <f>INDEX('6pow. 50 r.ż.'!B3:G28,MATCH(9,B4:B29,0),2)</f>
        <v>597</v>
      </c>
      <c r="E12" s="37">
        <f>INDEX('6pow. 50 r.ż.'!B3:G28,MATCH(9,B4:B29,0),3)</f>
        <v>611</v>
      </c>
      <c r="F12" s="6">
        <f>INDEX('6pow. 50 r.ż.'!B3:G28,MATCH(9,B4:B29,0),4)</f>
        <v>-14</v>
      </c>
      <c r="G12" s="37">
        <f>INDEX('6pow. 50 r.ż.'!B3:G28,MATCH(9,B4:B29,0),5)</f>
        <v>512</v>
      </c>
      <c r="H12" s="6">
        <f>INDEX('6pow. 50 r.ż.'!B3:G28,MATCH(9,B4:B29,0),6)</f>
        <v>85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603</v>
      </c>
      <c r="E13" s="37">
        <f>INDEX('6pow. 50 r.ż.'!B3:G28,MATCH(10,B4:B29,0),3)</f>
        <v>613</v>
      </c>
      <c r="F13" s="6">
        <f>INDEX('6pow. 50 r.ż.'!B3:G28,MATCH(10,B4:B29,0),4)</f>
        <v>-10</v>
      </c>
      <c r="G13" s="37">
        <f>INDEX('6pow. 50 r.ż.'!B3:G28,MATCH(10,B4:B29,0),5)</f>
        <v>583</v>
      </c>
      <c r="H13" s="6">
        <f>INDEX('6pow. 50 r.ż.'!B3:G28,MATCH(10,B4:B29,0),6)</f>
        <v>20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stalowowolski</v>
      </c>
      <c r="D14" s="6">
        <f>INDEX('6pow. 50 r.ż.'!B3:G28,MATCH(11,B4:B29,0),2)</f>
        <v>609</v>
      </c>
      <c r="E14" s="37">
        <f>INDEX('6pow. 50 r.ż.'!B3:G28,MATCH(11,B4:B29,0),3)</f>
        <v>630</v>
      </c>
      <c r="F14" s="6">
        <f>INDEX('6pow. 50 r.ż.'!B3:G28,MATCH(11,B4:B29,0),4)</f>
        <v>-21</v>
      </c>
      <c r="G14" s="37">
        <f>INDEX('6pow. 50 r.ż.'!B3:G28,MATCH(11,B4:B29,0),5)</f>
        <v>544</v>
      </c>
      <c r="H14" s="6">
        <f>INDEX('6pow. 50 r.ż.'!B3:G28,MATCH(11,B4:B29,0),6)</f>
        <v>65</v>
      </c>
    </row>
    <row r="15" spans="2:8" x14ac:dyDescent="0.2">
      <c r="B15" s="6">
        <f>RANK('6pow. 50 r.ż.'!C14,'6pow. 50 r.ż.'!$C$3:'6pow. 50 r.ż.'!$C$28,1)+COUNTIF('6pow. 50 r.ż.'!$C$3:'6pow. 50 r.ż.'!C14,'6pow. 50 r.ż.'!C14)-1</f>
        <v>21</v>
      </c>
      <c r="C15" s="5" t="str">
        <f>INDEX('6pow. 50 r.ż.'!B3:G28,MATCH(12,B4:B29,0),1)</f>
        <v>leżajski</v>
      </c>
      <c r="D15" s="6">
        <f>INDEX('6pow. 50 r.ż.'!B3:G28,MATCH(12,B4:B29,0),2)</f>
        <v>653</v>
      </c>
      <c r="E15" s="37">
        <f>INDEX('6pow. 50 r.ż.'!B3:G28,MATCH(12,B4:B29,0),3)</f>
        <v>669</v>
      </c>
      <c r="F15" s="6">
        <f>INDEX('6pow. 50 r.ż.'!B3:G28,MATCH(12,B4:B29,0),4)</f>
        <v>-16</v>
      </c>
      <c r="G15" s="37">
        <f>INDEX('6pow. 50 r.ż.'!B3:G28,MATCH(12,B4:B29,0),5)</f>
        <v>662</v>
      </c>
      <c r="H15" s="6">
        <f>INDEX('6pow. 50 r.ż.'!B3:G28,MATCH(12,B4:B29,0),6)</f>
        <v>-9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krośnieński</v>
      </c>
      <c r="D16" s="6">
        <f>INDEX('6pow. 50 r.ż.'!B3:G28,MATCH(13,B4:B29,0),2)</f>
        <v>675</v>
      </c>
      <c r="E16" s="37">
        <f>INDEX('6pow. 50 r.ż.'!B3:G28,MATCH(13,B4:B29,0),3)</f>
        <v>694</v>
      </c>
      <c r="F16" s="6">
        <f>INDEX('6pow. 50 r.ż.'!B3:G28,MATCH(13,B4:B29,0),4)</f>
        <v>-19</v>
      </c>
      <c r="G16" s="37">
        <f>INDEX('6pow. 50 r.ż.'!B3:G28,MATCH(13,B4:B29,0),5)</f>
        <v>651</v>
      </c>
      <c r="H16" s="6">
        <f>INDEX('6pow. 50 r.ż.'!B3:G28,MATCH(13,B4:B29,0),6)</f>
        <v>24</v>
      </c>
    </row>
    <row r="17" spans="2:8" x14ac:dyDescent="0.2">
      <c r="B17" s="6">
        <f>RANK('6pow. 50 r.ż.'!C16,'6pow. 50 r.ż.'!$C$3:'6pow. 50 r.ż.'!$C$28,1)+COUNTIF('6pow. 50 r.ż.'!$C$3:'6pow. 50 r.ż.'!C16,'6pow. 50 r.ż.'!C16)-1</f>
        <v>16</v>
      </c>
      <c r="C17" s="5" t="str">
        <f>INDEX('6pow. 50 r.ż.'!B3:G28,MATCH(14,B4:B29,0),1)</f>
        <v>sanocki</v>
      </c>
      <c r="D17" s="6">
        <f>INDEX('6pow. 50 r.ż.'!B3:G28,MATCH(14,B4:B29,0),2)</f>
        <v>702</v>
      </c>
      <c r="E17" s="37">
        <f>INDEX('6pow. 50 r.ż.'!B3:G28,MATCH(14,B4:B29,0),3)</f>
        <v>732</v>
      </c>
      <c r="F17" s="6">
        <f>INDEX('6pow. 50 r.ż.'!B3:G28,MATCH(14,B4:B29,0),4)</f>
        <v>-30</v>
      </c>
      <c r="G17" s="37">
        <f>INDEX('6pow. 50 r.ż.'!B3:G28,MATCH(14,B4:B29,0),5)</f>
        <v>660</v>
      </c>
      <c r="H17" s="6">
        <f>INDEX('6pow. 50 r.ż.'!B3:G28,MATCH(14,B4:B29,0),6)</f>
        <v>42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niżański</v>
      </c>
      <c r="D18" s="6">
        <f>INDEX('6pow. 50 r.ż.'!B3:G28,MATCH(15,B4:B29,0),2)</f>
        <v>705</v>
      </c>
      <c r="E18" s="37">
        <f>INDEX('6pow. 50 r.ż.'!B3:G28,MATCH(15,B4:B29,0),3)</f>
        <v>705</v>
      </c>
      <c r="F18" s="6">
        <f>INDEX('6pow. 50 r.ż.'!B3:G28,MATCH(15,B4:B29,0),4)</f>
        <v>0</v>
      </c>
      <c r="G18" s="37">
        <f>INDEX('6pow. 50 r.ż.'!B3:G28,MATCH(15,B4:B29,0),5)</f>
        <v>681</v>
      </c>
      <c r="H18" s="6">
        <f>INDEX('6pow. 50 r.ż.'!B3:G28,MATCH(15,B4:B29,0),6)</f>
        <v>24</v>
      </c>
    </row>
    <row r="19" spans="2:8" x14ac:dyDescent="0.2">
      <c r="B19" s="6">
        <f>RANK('6pow. 50 r.ż.'!C18,'6pow. 50 r.ż.'!$C$3:'6pow. 50 r.ż.'!$C$28,1)+COUNTIF('6pow. 50 r.ż.'!$C$3:'6pow. 50 r.ż.'!C18,'6pow. 50 r.ż.'!C18)-1</f>
        <v>8</v>
      </c>
      <c r="C19" s="5" t="str">
        <f>INDEX('6pow. 50 r.ż.'!B3:G28,MATCH(16,B4:B29,0),1)</f>
        <v>przemyski</v>
      </c>
      <c r="D19" s="6">
        <f>INDEX('6pow. 50 r.ż.'!B3:G28,MATCH(16,B4:B29,0),2)</f>
        <v>753</v>
      </c>
      <c r="E19" s="37">
        <f>INDEX('6pow. 50 r.ż.'!B3:G28,MATCH(16,B4:B29,0),3)</f>
        <v>753</v>
      </c>
      <c r="F19" s="6">
        <f>INDEX('6pow. 50 r.ż.'!B3:G28,MATCH(16,B4:B29,0),4)</f>
        <v>0</v>
      </c>
      <c r="G19" s="37">
        <f>INDEX('6pow. 50 r.ż.'!B3:G28,MATCH(16,B4:B29,0),5)</f>
        <v>714</v>
      </c>
      <c r="H19" s="6">
        <f>INDEX('6pow. 50 r.ż.'!B3:G28,MATCH(16,B4:B29,0),6)</f>
        <v>39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Przemyśl</v>
      </c>
      <c r="D20" s="6">
        <f>INDEX('6pow. 50 r.ż.'!B3:G28,MATCH(17,B4:B29,0),2)</f>
        <v>770</v>
      </c>
      <c r="E20" s="37">
        <f>INDEX('6pow. 50 r.ż.'!B3:G28,MATCH(17,B4:B29,0),3)</f>
        <v>770</v>
      </c>
      <c r="F20" s="6">
        <f>INDEX('6pow. 50 r.ż.'!B3:G28,MATCH(17,B4:B29,0),4)</f>
        <v>0</v>
      </c>
      <c r="G20" s="37">
        <f>INDEX('6pow. 50 r.ż.'!B3:G28,MATCH(17,B4:B29,0),5)</f>
        <v>713</v>
      </c>
      <c r="H20" s="6">
        <f>INDEX('6pow. 50 r.ż.'!B3:G28,MATCH(17,B4:B29,0),6)</f>
        <v>57</v>
      </c>
    </row>
    <row r="21" spans="2:8" x14ac:dyDescent="0.2">
      <c r="B21" s="6">
        <f>RANK('6pow. 50 r.ż.'!C20,'6pow. 50 r.ż.'!$C$3:'6pow. 50 r.ż.'!$C$28,1)+COUNTIF('6pow. 50 r.ż.'!$C$3:'6pow. 50 r.ż.'!C20,'6pow. 50 r.ż.'!C20)-1</f>
        <v>14</v>
      </c>
      <c r="C21" s="5" t="str">
        <f>INDEX('6pow. 50 r.ż.'!B3:G28,MATCH(18,B4:B29,0),1)</f>
        <v>strzyżowski</v>
      </c>
      <c r="D21" s="6">
        <f>INDEX('6pow. 50 r.ż.'!B3:G28,MATCH(18,B4:B29,0),2)</f>
        <v>777</v>
      </c>
      <c r="E21" s="37">
        <f>INDEX('6pow. 50 r.ż.'!B3:G28,MATCH(18,B4:B29,0),3)</f>
        <v>791</v>
      </c>
      <c r="F21" s="6">
        <f>INDEX('6pow. 50 r.ż.'!B3:G28,MATCH(18,B4:B29,0),4)</f>
        <v>-14</v>
      </c>
      <c r="G21" s="37">
        <f>INDEX('6pow. 50 r.ż.'!B3:G28,MATCH(18,B4:B29,0),5)</f>
        <v>742</v>
      </c>
      <c r="H21" s="6">
        <f>INDEX('6pow. 50 r.ż.'!B3:G28,MATCH(18,B4:B29,0),6)</f>
        <v>35</v>
      </c>
    </row>
    <row r="22" spans="2:8" x14ac:dyDescent="0.2">
      <c r="B22" s="6">
        <f>RANK('6pow. 50 r.ż.'!C21,'6pow. 50 r.ż.'!$C$3:'6pow. 50 r.ż.'!$C$28,1)+COUNTIF('6pow. 50 r.ż.'!$C$3:'6pow. 50 r.ż.'!C21,'6pow. 50 r.ż.'!C21)-1</f>
        <v>11</v>
      </c>
      <c r="C22" s="5" t="str">
        <f>INDEX('6pow. 50 r.ż.'!B3:G28,MATCH(19,B4:B29,0),1)</f>
        <v>przeworski</v>
      </c>
      <c r="D22" s="6">
        <f>INDEX('6pow. 50 r.ż.'!B3:G28,MATCH(19,B4:B29,0),2)</f>
        <v>808</v>
      </c>
      <c r="E22" s="37">
        <f>INDEX('6pow. 50 r.ż.'!B3:G28,MATCH(19,B4:B29,0),3)</f>
        <v>823</v>
      </c>
      <c r="F22" s="6">
        <f>INDEX('6pow. 50 r.ż.'!B3:G28,MATCH(19,B4:B29,0),4)</f>
        <v>-15</v>
      </c>
      <c r="G22" s="37">
        <f>INDEX('6pow. 50 r.ż.'!B3:G28,MATCH(19,B4:B29,0),5)</f>
        <v>726</v>
      </c>
      <c r="H22" s="6">
        <f>INDEX('6pow. 50 r.ż.'!B3:G28,MATCH(19,B4:B29,0),6)</f>
        <v>82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brzozowski</v>
      </c>
      <c r="D23" s="6">
        <f>INDEX('6pow. 50 r.ż.'!B3:G28,MATCH(20,B4:B29,0),2)</f>
        <v>840</v>
      </c>
      <c r="E23" s="37">
        <f>INDEX('6pow. 50 r.ż.'!B3:G28,MATCH(20,B4:B29,0),3)</f>
        <v>863</v>
      </c>
      <c r="F23" s="6">
        <f>INDEX('6pow. 50 r.ż.'!B3:G28,MATCH(20,B4:B29,0),4)</f>
        <v>-23</v>
      </c>
      <c r="G23" s="37">
        <f>INDEX('6pow. 50 r.ż.'!B3:G28,MATCH(20,B4:B29,0),5)</f>
        <v>858</v>
      </c>
      <c r="H23" s="6">
        <f>INDEX('6pow. 50 r.ż.'!B3:G28,MATCH(20,B4:B29,0),6)</f>
        <v>-18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mielecki</v>
      </c>
      <c r="D24" s="6">
        <f>INDEX('6pow. 50 r.ż.'!B3:G28,MATCH(21,B4:B29,0),2)</f>
        <v>840</v>
      </c>
      <c r="E24" s="37">
        <f>INDEX('6pow. 50 r.ż.'!B3:G28,MATCH(21,B4:B29,0),3)</f>
        <v>823</v>
      </c>
      <c r="F24" s="6">
        <f>INDEX('6pow. 50 r.ż.'!B3:G28,MATCH(21,B4:B29,0),4)</f>
        <v>17</v>
      </c>
      <c r="G24" s="37">
        <f>INDEX('6pow. 50 r.ż.'!B3:G28,MATCH(21,B4:B29,0),5)</f>
        <v>771</v>
      </c>
      <c r="H24" s="6">
        <f>INDEX('6pow. 50 r.ż.'!B3:G28,MATCH(21,B4:B29,0),6)</f>
        <v>69</v>
      </c>
    </row>
    <row r="25" spans="2:8" x14ac:dyDescent="0.2">
      <c r="B25" s="6">
        <f>RANK('6pow. 50 r.ż.'!C24,'6pow. 50 r.ż.'!$C$3:'6pow. 50 r.ż.'!$C$28,1)+COUNTIF('6pow. 50 r.ż.'!$C$3:'6pow. 50 r.ż.'!C24,'6pow. 50 r.ż.'!C24)-1</f>
        <v>2</v>
      </c>
      <c r="C25" s="5" t="str">
        <f>INDEX('6pow. 50 r.ż.'!B3:G28,MATCH(22,B4:B29,0),1)</f>
        <v>jarosławski</v>
      </c>
      <c r="D25" s="6">
        <f>INDEX('6pow. 50 r.ż.'!B3:G28,MATCH(22,B4:B29,0),2)</f>
        <v>1146</v>
      </c>
      <c r="E25" s="37">
        <f>INDEX('6pow. 50 r.ż.'!B3:G28,MATCH(22,B4:B29,0),3)</f>
        <v>1174</v>
      </c>
      <c r="F25" s="6">
        <f>INDEX('6pow. 50 r.ż.'!B3:G28,MATCH(22,B4:B29,0),4)</f>
        <v>-28</v>
      </c>
      <c r="G25" s="37">
        <f>INDEX('6pow. 50 r.ż.'!B3:G28,MATCH(22,B4:B29,0),5)</f>
        <v>1097</v>
      </c>
      <c r="H25" s="6">
        <f>INDEX('6pow. 50 r.ż.'!B3:G28,MATCH(22,B4:B29,0),6)</f>
        <v>49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rzeszowski</v>
      </c>
      <c r="D26" s="6">
        <f>INDEX('6pow. 50 r.ż.'!B3:G28,MATCH(23,B4:B29,0),2)</f>
        <v>1161</v>
      </c>
      <c r="E26" s="37">
        <f>INDEX('6pow. 50 r.ż.'!B3:G28,MATCH(23,B4:B29,0),3)</f>
        <v>1198</v>
      </c>
      <c r="F26" s="6">
        <f>INDEX('6pow. 50 r.ż.'!B3:G28,MATCH(23,B4:B29,0),4)</f>
        <v>-37</v>
      </c>
      <c r="G26" s="37">
        <f>INDEX('6pow. 50 r.ż.'!B3:G28,MATCH(23,B4:B29,0),5)</f>
        <v>1078</v>
      </c>
      <c r="H26" s="6">
        <f>INDEX('6pow. 50 r.ż.'!B3:G28,MATCH(23,B4:B29,0),6)</f>
        <v>83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1247</v>
      </c>
      <c r="E27" s="37">
        <f>INDEX('6pow. 50 r.ż.'!B3:G28,MATCH(24,B4:B29,0),3)</f>
        <v>1256</v>
      </c>
      <c r="F27" s="6">
        <f>INDEX('6pow. 50 r.ż.'!B3:G28,MATCH(24,B4:B29,0),4)</f>
        <v>-9</v>
      </c>
      <c r="G27" s="37">
        <f>INDEX('6pow. 50 r.ż.'!B3:G28,MATCH(24,B4:B29,0),5)</f>
        <v>1083</v>
      </c>
      <c r="H27" s="6">
        <f>INDEX('6pow. 50 r.ż.'!B3:G28,MATCH(24,B4:B29,0),6)</f>
        <v>164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1363</v>
      </c>
      <c r="E28" s="37">
        <f>INDEX('6pow. 50 r.ż.'!B3:G28,MATCH(25,B4:B29,0),3)</f>
        <v>1369</v>
      </c>
      <c r="F28" s="6">
        <f>INDEX('6pow. 50 r.ż.'!B3:G28,MATCH(25,B4:B29,0),4)</f>
        <v>-6</v>
      </c>
      <c r="G28" s="37">
        <f>INDEX('6pow. 50 r.ż.'!B3:G28,MATCH(25,B4:B29,0),5)</f>
        <v>1310</v>
      </c>
      <c r="H28" s="6">
        <f>INDEX('6pow. 50 r.ż.'!B3:G28,MATCH(25,B4:B29,0),6)</f>
        <v>53</v>
      </c>
    </row>
    <row r="29" spans="2:8" ht="15" x14ac:dyDescent="0.25">
      <c r="B29" s="35">
        <f>RANK('6pow. 50 r.ż.'!C28,'6pow. 50 r.ż.'!$C$3:'6pow. 50 r.ż.'!$C$28,1)+COUNTIF('6pow. 50 r.ż.'!$C$3:'6pow. 50 r.ż.'!C28,'6pow. 50 r.ż.'!C28)-1</f>
        <v>26</v>
      </c>
      <c r="C29" s="34" t="str">
        <f>INDEX('6pow. 50 r.ż.'!B3:G28,MATCH(26,B4:B29,0),1)</f>
        <v>województwo</v>
      </c>
      <c r="D29" s="35">
        <f>INDEX('6pow. 50 r.ż.'!B3:G28,MATCH(26,B4:B29,0),2)</f>
        <v>17359</v>
      </c>
      <c r="E29" s="39">
        <f>INDEX('6pow. 50 r.ż.'!B3:G28,MATCH(26,B4:B29,0),3)</f>
        <v>17668</v>
      </c>
      <c r="F29" s="35">
        <f>INDEX('6pow. 50 r.ż.'!B3:G28,MATCH(26,B4:B29,0),4)</f>
        <v>-309</v>
      </c>
      <c r="G29" s="39">
        <f>INDEX('6pow. 50 r.ż.'!B3:G28,MATCH(26,B4:B29,0),5)</f>
        <v>16258</v>
      </c>
      <c r="H29" s="35">
        <f>INDEX('6pow. 50 r.ż.'!B3:G28,MATCH(26,B4:B29,0),6)</f>
        <v>1101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3.140625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0"/>
      <c r="D1" s="20"/>
      <c r="E1" s="20"/>
      <c r="F1" s="20"/>
      <c r="G1" s="20"/>
    </row>
    <row r="2" spans="2:8" ht="57" x14ac:dyDescent="0.2">
      <c r="B2" s="31" t="s">
        <v>27</v>
      </c>
      <c r="C2" s="32" t="s">
        <v>102</v>
      </c>
      <c r="D2" s="33" t="s">
        <v>75</v>
      </c>
      <c r="E2" s="32" t="s">
        <v>28</v>
      </c>
      <c r="F2" s="33" t="s">
        <v>103</v>
      </c>
      <c r="G2" s="32" t="s">
        <v>26</v>
      </c>
    </row>
    <row r="3" spans="2:8" x14ac:dyDescent="0.2">
      <c r="B3" s="5" t="s">
        <v>0</v>
      </c>
      <c r="C3" s="23">
        <v>9</v>
      </c>
      <c r="D3" s="37">
        <v>12</v>
      </c>
      <c r="E3" s="23">
        <f t="shared" ref="E3:E27" si="0">SUM(C3)-D3</f>
        <v>-3</v>
      </c>
      <c r="F3" s="37">
        <v>36</v>
      </c>
      <c r="G3" s="23">
        <f t="shared" ref="G3:G27" si="1">SUM(C3)-F3</f>
        <v>-27</v>
      </c>
      <c r="H3" s="7"/>
    </row>
    <row r="4" spans="2:8" x14ac:dyDescent="0.2">
      <c r="B4" s="5" t="s">
        <v>1</v>
      </c>
      <c r="C4" s="23">
        <v>53</v>
      </c>
      <c r="D4" s="37">
        <v>50</v>
      </c>
      <c r="E4" s="23">
        <f t="shared" si="0"/>
        <v>3</v>
      </c>
      <c r="F4" s="37">
        <v>77</v>
      </c>
      <c r="G4" s="23">
        <f t="shared" si="1"/>
        <v>-24</v>
      </c>
      <c r="H4" s="7"/>
    </row>
    <row r="5" spans="2:8" x14ac:dyDescent="0.2">
      <c r="B5" s="5" t="s">
        <v>2</v>
      </c>
      <c r="C5" s="23">
        <v>166</v>
      </c>
      <c r="D5" s="37">
        <v>170</v>
      </c>
      <c r="E5" s="23">
        <f t="shared" si="0"/>
        <v>-4</v>
      </c>
      <c r="F5" s="37">
        <v>274</v>
      </c>
      <c r="G5" s="23">
        <f t="shared" si="1"/>
        <v>-108</v>
      </c>
      <c r="H5" s="7"/>
    </row>
    <row r="6" spans="2:8" x14ac:dyDescent="0.2">
      <c r="B6" s="5" t="s">
        <v>3</v>
      </c>
      <c r="C6" s="23">
        <v>70</v>
      </c>
      <c r="D6" s="37">
        <v>204</v>
      </c>
      <c r="E6" s="23">
        <f t="shared" si="0"/>
        <v>-134</v>
      </c>
      <c r="F6" s="37">
        <v>82</v>
      </c>
      <c r="G6" s="23">
        <f t="shared" si="1"/>
        <v>-12</v>
      </c>
      <c r="H6" s="7"/>
    </row>
    <row r="7" spans="2:8" x14ac:dyDescent="0.2">
      <c r="B7" s="5" t="s">
        <v>4</v>
      </c>
      <c r="C7" s="23">
        <v>132</v>
      </c>
      <c r="D7" s="37">
        <v>211</v>
      </c>
      <c r="E7" s="23">
        <f t="shared" si="0"/>
        <v>-79</v>
      </c>
      <c r="F7" s="37">
        <v>274</v>
      </c>
      <c r="G7" s="23">
        <f t="shared" si="1"/>
        <v>-142</v>
      </c>
      <c r="H7" s="7"/>
    </row>
    <row r="8" spans="2:8" x14ac:dyDescent="0.2">
      <c r="B8" s="5" t="s">
        <v>5</v>
      </c>
      <c r="C8" s="23">
        <v>61</v>
      </c>
      <c r="D8" s="37">
        <v>48</v>
      </c>
      <c r="E8" s="23">
        <f t="shared" si="0"/>
        <v>13</v>
      </c>
      <c r="F8" s="37">
        <v>58</v>
      </c>
      <c r="G8" s="23">
        <f t="shared" si="1"/>
        <v>3</v>
      </c>
      <c r="H8" s="7"/>
    </row>
    <row r="9" spans="2:8" x14ac:dyDescent="0.2">
      <c r="B9" s="9" t="s">
        <v>6</v>
      </c>
      <c r="C9" s="23">
        <v>34</v>
      </c>
      <c r="D9" s="37">
        <v>29</v>
      </c>
      <c r="E9" s="23">
        <f t="shared" si="0"/>
        <v>5</v>
      </c>
      <c r="F9" s="37">
        <v>43</v>
      </c>
      <c r="G9" s="23">
        <f t="shared" si="1"/>
        <v>-9</v>
      </c>
      <c r="H9" s="7"/>
    </row>
    <row r="10" spans="2:8" x14ac:dyDescent="0.2">
      <c r="B10" s="5" t="s">
        <v>7</v>
      </c>
      <c r="C10" s="23">
        <v>25</v>
      </c>
      <c r="D10" s="37">
        <v>43</v>
      </c>
      <c r="E10" s="23">
        <f t="shared" si="0"/>
        <v>-18</v>
      </c>
      <c r="F10" s="37">
        <v>47</v>
      </c>
      <c r="G10" s="23">
        <f t="shared" si="1"/>
        <v>-22</v>
      </c>
      <c r="H10" s="7"/>
    </row>
    <row r="11" spans="2:8" x14ac:dyDescent="0.2">
      <c r="B11" s="5" t="s">
        <v>8</v>
      </c>
      <c r="C11" s="23">
        <v>69</v>
      </c>
      <c r="D11" s="37">
        <v>58</v>
      </c>
      <c r="E11" s="23">
        <f t="shared" si="0"/>
        <v>11</v>
      </c>
      <c r="F11" s="37">
        <v>36</v>
      </c>
      <c r="G11" s="23">
        <f t="shared" si="1"/>
        <v>33</v>
      </c>
      <c r="H11" s="7"/>
    </row>
    <row r="12" spans="2:8" x14ac:dyDescent="0.2">
      <c r="B12" s="5" t="s">
        <v>9</v>
      </c>
      <c r="C12" s="23">
        <v>90</v>
      </c>
      <c r="D12" s="37">
        <v>66</v>
      </c>
      <c r="E12" s="23">
        <f t="shared" si="0"/>
        <v>24</v>
      </c>
      <c r="F12" s="37">
        <v>148</v>
      </c>
      <c r="G12" s="23">
        <f t="shared" si="1"/>
        <v>-58</v>
      </c>
      <c r="H12" s="7"/>
    </row>
    <row r="13" spans="2:8" x14ac:dyDescent="0.2">
      <c r="B13" s="5" t="s">
        <v>10</v>
      </c>
      <c r="C13" s="23">
        <v>92</v>
      </c>
      <c r="D13" s="37">
        <v>52</v>
      </c>
      <c r="E13" s="23">
        <f t="shared" si="0"/>
        <v>40</v>
      </c>
      <c r="F13" s="37">
        <v>79</v>
      </c>
      <c r="G13" s="23">
        <f t="shared" si="1"/>
        <v>13</v>
      </c>
      <c r="H13" s="7"/>
    </row>
    <row r="14" spans="2:8" x14ac:dyDescent="0.2">
      <c r="B14" s="5" t="s">
        <v>11</v>
      </c>
      <c r="C14" s="23">
        <v>212</v>
      </c>
      <c r="D14" s="37">
        <v>209</v>
      </c>
      <c r="E14" s="23">
        <f t="shared" si="0"/>
        <v>3</v>
      </c>
      <c r="F14" s="37">
        <v>236</v>
      </c>
      <c r="G14" s="23">
        <f t="shared" si="1"/>
        <v>-24</v>
      </c>
      <c r="H14" s="7"/>
    </row>
    <row r="15" spans="2:8" x14ac:dyDescent="0.2">
      <c r="B15" s="5" t="s">
        <v>12</v>
      </c>
      <c r="C15" s="23">
        <v>109</v>
      </c>
      <c r="D15" s="37">
        <v>69</v>
      </c>
      <c r="E15" s="23">
        <f t="shared" si="0"/>
        <v>40</v>
      </c>
      <c r="F15" s="37">
        <v>57</v>
      </c>
      <c r="G15" s="23">
        <f t="shared" si="1"/>
        <v>52</v>
      </c>
      <c r="H15" s="7"/>
    </row>
    <row r="16" spans="2:8" x14ac:dyDescent="0.2">
      <c r="B16" s="5" t="s">
        <v>13</v>
      </c>
      <c r="C16" s="23">
        <v>27</v>
      </c>
      <c r="D16" s="37">
        <v>11</v>
      </c>
      <c r="E16" s="23">
        <f t="shared" si="0"/>
        <v>16</v>
      </c>
      <c r="F16" s="37">
        <v>25</v>
      </c>
      <c r="G16" s="23">
        <f t="shared" si="1"/>
        <v>2</v>
      </c>
      <c r="H16" s="7"/>
    </row>
    <row r="17" spans="2:8" x14ac:dyDescent="0.2">
      <c r="B17" s="5" t="s">
        <v>14</v>
      </c>
      <c r="C17" s="23">
        <v>68</v>
      </c>
      <c r="D17" s="37">
        <v>94</v>
      </c>
      <c r="E17" s="23">
        <f t="shared" si="0"/>
        <v>-26</v>
      </c>
      <c r="F17" s="37">
        <v>271</v>
      </c>
      <c r="G17" s="23">
        <f t="shared" si="1"/>
        <v>-203</v>
      </c>
      <c r="H17" s="7"/>
    </row>
    <row r="18" spans="2:8" x14ac:dyDescent="0.2">
      <c r="B18" s="5" t="s">
        <v>15</v>
      </c>
      <c r="C18" s="23">
        <v>71</v>
      </c>
      <c r="D18" s="37">
        <v>87</v>
      </c>
      <c r="E18" s="23">
        <f t="shared" si="0"/>
        <v>-16</v>
      </c>
      <c r="F18" s="37">
        <v>99</v>
      </c>
      <c r="G18" s="23">
        <f t="shared" si="1"/>
        <v>-28</v>
      </c>
      <c r="H18" s="7"/>
    </row>
    <row r="19" spans="2:8" x14ac:dyDescent="0.2">
      <c r="B19" s="5" t="s">
        <v>16</v>
      </c>
      <c r="C19" s="23">
        <v>119</v>
      </c>
      <c r="D19" s="37">
        <v>149</v>
      </c>
      <c r="E19" s="23">
        <f t="shared" si="0"/>
        <v>-30</v>
      </c>
      <c r="F19" s="37">
        <v>147</v>
      </c>
      <c r="G19" s="23">
        <f t="shared" si="1"/>
        <v>-28</v>
      </c>
      <c r="H19" s="7"/>
    </row>
    <row r="20" spans="2:8" x14ac:dyDescent="0.2">
      <c r="B20" s="5" t="s">
        <v>17</v>
      </c>
      <c r="C20" s="23">
        <v>56</v>
      </c>
      <c r="D20" s="37">
        <v>56</v>
      </c>
      <c r="E20" s="23">
        <f t="shared" si="0"/>
        <v>0</v>
      </c>
      <c r="F20" s="37">
        <v>64</v>
      </c>
      <c r="G20" s="23">
        <f t="shared" si="1"/>
        <v>-8</v>
      </c>
      <c r="H20" s="7"/>
    </row>
    <row r="21" spans="2:8" x14ac:dyDescent="0.2">
      <c r="B21" s="5" t="s">
        <v>18</v>
      </c>
      <c r="C21" s="23">
        <v>94</v>
      </c>
      <c r="D21" s="37">
        <v>102</v>
      </c>
      <c r="E21" s="23">
        <f t="shared" si="0"/>
        <v>-8</v>
      </c>
      <c r="F21" s="37">
        <v>128</v>
      </c>
      <c r="G21" s="23">
        <f t="shared" si="1"/>
        <v>-34</v>
      </c>
      <c r="H21" s="7"/>
    </row>
    <row r="22" spans="2:8" x14ac:dyDescent="0.2">
      <c r="B22" s="5" t="s">
        <v>19</v>
      </c>
      <c r="C22" s="23">
        <v>67</v>
      </c>
      <c r="D22" s="37">
        <v>115</v>
      </c>
      <c r="E22" s="23">
        <f t="shared" si="0"/>
        <v>-48</v>
      </c>
      <c r="F22" s="37">
        <v>87</v>
      </c>
      <c r="G22" s="23">
        <f t="shared" si="1"/>
        <v>-20</v>
      </c>
      <c r="H22" s="7"/>
    </row>
    <row r="23" spans="2:8" x14ac:dyDescent="0.2">
      <c r="B23" s="5" t="s">
        <v>20</v>
      </c>
      <c r="C23" s="23">
        <v>131</v>
      </c>
      <c r="D23" s="37">
        <v>67</v>
      </c>
      <c r="E23" s="23">
        <f t="shared" si="0"/>
        <v>64</v>
      </c>
      <c r="F23" s="37">
        <v>32</v>
      </c>
      <c r="G23" s="23">
        <f t="shared" si="1"/>
        <v>99</v>
      </c>
      <c r="H23" s="7"/>
    </row>
    <row r="24" spans="2:8" x14ac:dyDescent="0.2">
      <c r="B24" s="5" t="s">
        <v>21</v>
      </c>
      <c r="C24" s="23">
        <v>59</v>
      </c>
      <c r="D24" s="37">
        <v>127</v>
      </c>
      <c r="E24" s="23">
        <f t="shared" si="0"/>
        <v>-68</v>
      </c>
      <c r="F24" s="37">
        <v>25</v>
      </c>
      <c r="G24" s="23">
        <f t="shared" si="1"/>
        <v>34</v>
      </c>
      <c r="H24" s="7"/>
    </row>
    <row r="25" spans="2:8" x14ac:dyDescent="0.2">
      <c r="B25" s="5" t="s">
        <v>22</v>
      </c>
      <c r="C25" s="23">
        <v>62</v>
      </c>
      <c r="D25" s="37">
        <v>37</v>
      </c>
      <c r="E25" s="23">
        <f t="shared" si="0"/>
        <v>25</v>
      </c>
      <c r="F25" s="37">
        <v>77</v>
      </c>
      <c r="G25" s="23">
        <f t="shared" si="1"/>
        <v>-15</v>
      </c>
      <c r="H25" s="7"/>
    </row>
    <row r="26" spans="2:8" x14ac:dyDescent="0.2">
      <c r="B26" s="5" t="s">
        <v>23</v>
      </c>
      <c r="C26" s="23">
        <v>316</v>
      </c>
      <c r="D26" s="37">
        <v>399</v>
      </c>
      <c r="E26" s="23">
        <f t="shared" si="0"/>
        <v>-83</v>
      </c>
      <c r="F26" s="37">
        <v>396</v>
      </c>
      <c r="G26" s="23">
        <f t="shared" si="1"/>
        <v>-80</v>
      </c>
      <c r="H26" s="7"/>
    </row>
    <row r="27" spans="2:8" x14ac:dyDescent="0.2">
      <c r="B27" s="5" t="s">
        <v>24</v>
      </c>
      <c r="C27" s="23">
        <v>36</v>
      </c>
      <c r="D27" s="37">
        <v>62</v>
      </c>
      <c r="E27" s="23">
        <f t="shared" si="0"/>
        <v>-26</v>
      </c>
      <c r="F27" s="37">
        <v>31</v>
      </c>
      <c r="G27" s="23">
        <f t="shared" si="1"/>
        <v>5</v>
      </c>
      <c r="H27" s="7"/>
    </row>
    <row r="28" spans="2:8" ht="17.25" customHeight="1" x14ac:dyDescent="0.25">
      <c r="B28" s="34" t="s">
        <v>25</v>
      </c>
      <c r="C28" s="43">
        <f>SUM(C3:C27)</f>
        <v>2228</v>
      </c>
      <c r="D28" s="39">
        <f>SUM(D3:D27)</f>
        <v>2527</v>
      </c>
      <c r="E28" s="43">
        <f>SUM(E3:E27)</f>
        <v>-299</v>
      </c>
      <c r="F28" s="39">
        <f>SUM(F3:F27)</f>
        <v>2829</v>
      </c>
      <c r="G28" s="43">
        <f>SUM(G3:G27)</f>
        <v>-601</v>
      </c>
      <c r="H28" s="7"/>
    </row>
    <row r="29" spans="2:8" ht="12" customHeight="1" x14ac:dyDescent="0.2">
      <c r="B29" s="4"/>
      <c r="E29" s="164">
        <f>SUM(E28/D28)*100</f>
        <v>-11.83221210922042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T('7oferty p.'!B2)</f>
        <v>powiaty</v>
      </c>
      <c r="D3" s="31" t="str">
        <f>T('7oferty p.'!C2)</f>
        <v>liczba ofert w 05-'26 r.</v>
      </c>
      <c r="E3" s="31" t="str">
        <f>T('7oferty p.'!D2)</f>
        <v>liczba ofert w 04-'26 r.</v>
      </c>
      <c r="F3" s="31" t="str">
        <f>T('7oferty p.'!E2)</f>
        <v>wzrost/spadek do poprzedniego  miesiąca</v>
      </c>
      <c r="G3" s="31" t="str">
        <f>T('7oferty p.'!F2)</f>
        <v>liczba ofert w 05-'25 r.</v>
      </c>
      <c r="H3" s="31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19">
        <f>INDEX('7oferty p.'!B3:G28,MATCH(1,B4:B29,0),2)</f>
        <v>9</v>
      </c>
      <c r="E4" s="37">
        <f>INDEX('7oferty p.'!B3:G28,MATCH(1,B4:B29,0),3)</f>
        <v>12</v>
      </c>
      <c r="F4" s="6">
        <f>INDEX('7oferty p.'!B3:G28,MATCH(1,B4:B29,0),4)</f>
        <v>-3</v>
      </c>
      <c r="G4" s="37">
        <f>INDEX('7oferty p.'!B3:G28,MATCH(1,B4:B29,0),5)</f>
        <v>36</v>
      </c>
      <c r="H4" s="6">
        <f>INDEX('7oferty p.'!B3:G28,MATCH(1,B4:B29,0),6)</f>
        <v>-27</v>
      </c>
    </row>
    <row r="5" spans="2:8" x14ac:dyDescent="0.2">
      <c r="B5" s="6">
        <f>RANK('7oferty p.'!C4,'7oferty p.'!$C$3:'7oferty p.'!$C$28,1)+COUNTIF('7oferty p.'!$C$3:'7oferty p.'!C4,'7oferty p.'!C4)-1</f>
        <v>6</v>
      </c>
      <c r="C5" s="5" t="str">
        <f>INDEX('7oferty p.'!B3:G28,MATCH(2,B4:B29,0),1)</f>
        <v>leski</v>
      </c>
      <c r="D5" s="6">
        <f>INDEX('7oferty p.'!B3:G28,MATCH(2,B4:B29,0),2)</f>
        <v>25</v>
      </c>
      <c r="E5" s="37">
        <f>INDEX('7oferty p.'!B3:G28,MATCH(2,B4:B29,0),3)</f>
        <v>43</v>
      </c>
      <c r="F5" s="6">
        <f>INDEX('7oferty p.'!B3:G28,MATCH(2,B4:B29,0),4)</f>
        <v>-18</v>
      </c>
      <c r="G5" s="37">
        <f>INDEX('7oferty p.'!B3:G28,MATCH(2,B4:B29,0),5)</f>
        <v>47</v>
      </c>
      <c r="H5" s="6">
        <f>INDEX('7oferty p.'!B3:G28,MATCH(2,B4:B29,0),6)</f>
        <v>-22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przemyski</v>
      </c>
      <c r="D6" s="6">
        <f>INDEX('7oferty p.'!B3:G28,MATCH(3,B4:B29,0),2)</f>
        <v>27</v>
      </c>
      <c r="E6" s="37">
        <f>INDEX('7oferty p.'!B3:G28,MATCH(3,B4:B29,0),3)</f>
        <v>11</v>
      </c>
      <c r="F6" s="6">
        <f>INDEX('7oferty p.'!B3:G28,MATCH(3,B4:B29,0),4)</f>
        <v>16</v>
      </c>
      <c r="G6" s="37">
        <f>INDEX('7oferty p.'!B3:G28,MATCH(3,B4:B29,0),5)</f>
        <v>25</v>
      </c>
      <c r="H6" s="6">
        <f>INDEX('7oferty p.'!B3:G28,MATCH(3,B4:B29,0),6)</f>
        <v>2</v>
      </c>
    </row>
    <row r="7" spans="2:8" x14ac:dyDescent="0.2">
      <c r="B7" s="6">
        <f>RANK('7oferty p.'!C6,'7oferty p.'!$C$3:'7oferty p.'!$C$28,1)+COUNTIF('7oferty p.'!$C$3:'7oferty p.'!C6,'7oferty p.'!C6)-1</f>
        <v>14</v>
      </c>
      <c r="C7" s="5" t="str">
        <f>INDEX('7oferty p.'!B3:G28,MATCH(4,B4:B29,0),1)</f>
        <v>krośnieński</v>
      </c>
      <c r="D7" s="6">
        <f>INDEX('7oferty p.'!B3:G28,MATCH(4,B4:B29,0),2)</f>
        <v>34</v>
      </c>
      <c r="E7" s="37">
        <f>INDEX('7oferty p.'!B3:G28,MATCH(4,B4:B29,0),3)</f>
        <v>29</v>
      </c>
      <c r="F7" s="6">
        <f>INDEX('7oferty p.'!B3:G28,MATCH(4,B4:B29,0),4)</f>
        <v>5</v>
      </c>
      <c r="G7" s="37">
        <f>INDEX('7oferty p.'!B3:G28,MATCH(4,B4:B29,0),5)</f>
        <v>43</v>
      </c>
      <c r="H7" s="6">
        <f>INDEX('7oferty p.'!B3:G28,MATCH(4,B4:B29,0),6)</f>
        <v>-9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Tarnobrzeg</v>
      </c>
      <c r="D8" s="6">
        <f>INDEX('7oferty p.'!B3:G28,MATCH(5,B4:B29,0),2)</f>
        <v>36</v>
      </c>
      <c r="E8" s="37">
        <f>INDEX('7oferty p.'!B3:G28,MATCH(5,B4:B29,0),3)</f>
        <v>62</v>
      </c>
      <c r="F8" s="6">
        <f>INDEX('7oferty p.'!B3:G28,MATCH(5,B4:B29,0),4)</f>
        <v>-26</v>
      </c>
      <c r="G8" s="37">
        <f>INDEX('7oferty p.'!B3:G28,MATCH(5,B4:B29,0),5)</f>
        <v>31</v>
      </c>
      <c r="H8" s="6">
        <f>INDEX('7oferty p.'!B3:G28,MATCH(5,B4:B29,0),6)</f>
        <v>5</v>
      </c>
    </row>
    <row r="9" spans="2:8" x14ac:dyDescent="0.2">
      <c r="B9" s="6">
        <f>RANK('7oferty p.'!C8,'7oferty p.'!$C$3:'7oferty p.'!$C$28,1)+COUNTIF('7oferty p.'!$C$3:'7oferty p.'!C8,'7oferty p.'!C8)-1</f>
        <v>9</v>
      </c>
      <c r="C9" s="5" t="str">
        <f>INDEX('7oferty p.'!B3:G28,MATCH(6,B4:B29,0),1)</f>
        <v>brzozowski</v>
      </c>
      <c r="D9" s="6">
        <f>INDEX('7oferty p.'!B3:G28,MATCH(6,B4:B29,0),2)</f>
        <v>53</v>
      </c>
      <c r="E9" s="37">
        <f>INDEX('7oferty p.'!B3:G28,MATCH(6,B4:B29,0),3)</f>
        <v>50</v>
      </c>
      <c r="F9" s="6">
        <f>INDEX('7oferty p.'!B3:G28,MATCH(6,B4:B29,0),4)</f>
        <v>3</v>
      </c>
      <c r="G9" s="37">
        <f>INDEX('7oferty p.'!B3:G28,MATCH(6,B4:B29,0),5)</f>
        <v>77</v>
      </c>
      <c r="H9" s="6">
        <f>INDEX('7oferty p.'!B3:G28,MATCH(6,B4:B29,0),6)</f>
        <v>-24</v>
      </c>
    </row>
    <row r="10" spans="2:8" x14ac:dyDescent="0.2">
      <c r="B10" s="6">
        <f>RANK('7oferty p.'!C9,'7oferty p.'!$C$3:'7oferty p.'!$C$28,1)+COUNTIF('7oferty p.'!$C$3:'7oferty p.'!C9,'7oferty p.'!C9)-1</f>
        <v>4</v>
      </c>
      <c r="C10" s="9" t="str">
        <f>INDEX('7oferty p.'!B3:G28,MATCH(7,B4:B29,0),1)</f>
        <v>sanocki</v>
      </c>
      <c r="D10" s="6">
        <f>INDEX('7oferty p.'!B3:G28,MATCH(7,B4:B29,0),2)</f>
        <v>56</v>
      </c>
      <c r="E10" s="37">
        <f>INDEX('7oferty p.'!B3:G28,MATCH(7,B4:B29,0),3)</f>
        <v>56</v>
      </c>
      <c r="F10" s="6">
        <f>INDEX('7oferty p.'!B3:G28,MATCH(7,B4:B29,0),4)</f>
        <v>0</v>
      </c>
      <c r="G10" s="37">
        <f>INDEX('7oferty p.'!B3:G28,MATCH(7,B4:B29,0),5)</f>
        <v>64</v>
      </c>
      <c r="H10" s="6">
        <f>INDEX('7oferty p.'!B3:G28,MATCH(7,B4:B29,0),6)</f>
        <v>-8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Krosno</v>
      </c>
      <c r="D11" s="6">
        <f>INDEX('7oferty p.'!B3:G28,MATCH(8,B4:B29,0),2)</f>
        <v>59</v>
      </c>
      <c r="E11" s="37">
        <f>INDEX('7oferty p.'!B3:G28,MATCH(8,B4:B29,0),3)</f>
        <v>127</v>
      </c>
      <c r="F11" s="6">
        <f>INDEX('7oferty p.'!B3:G28,MATCH(8,B4:B29,0),4)</f>
        <v>-68</v>
      </c>
      <c r="G11" s="37">
        <f>INDEX('7oferty p.'!B3:G28,MATCH(8,B4:B29,0),5)</f>
        <v>25</v>
      </c>
      <c r="H11" s="6">
        <f>INDEX('7oferty p.'!B3:G28,MATCH(8,B4:B29,0),6)</f>
        <v>34</v>
      </c>
    </row>
    <row r="12" spans="2:8" x14ac:dyDescent="0.2">
      <c r="B12" s="6">
        <f>RANK('7oferty p.'!C11,'7oferty p.'!$C$3:'7oferty p.'!$C$28,1)+COUNTIF('7oferty p.'!$C$3:'7oferty p.'!C11,'7oferty p.'!C11)-1</f>
        <v>13</v>
      </c>
      <c r="C12" s="5" t="str">
        <f>INDEX('7oferty p.'!B3:G28,MATCH(9,B4:B29,0),1)</f>
        <v>kolbuszowski</v>
      </c>
      <c r="D12" s="6">
        <f>INDEX('7oferty p.'!B3:G28,MATCH(9,B4:B29,0),2)</f>
        <v>61</v>
      </c>
      <c r="E12" s="37">
        <f>INDEX('7oferty p.'!B3:G28,MATCH(9,B4:B29,0),3)</f>
        <v>48</v>
      </c>
      <c r="F12" s="6">
        <f>INDEX('7oferty p.'!B3:G28,MATCH(9,B4:B29,0),4)</f>
        <v>13</v>
      </c>
      <c r="G12" s="37">
        <f>INDEX('7oferty p.'!B3:G28,MATCH(9,B4:B29,0),5)</f>
        <v>58</v>
      </c>
      <c r="H12" s="6">
        <f>INDEX('7oferty p.'!B3:G28,MATCH(9,B4:B29,0),6)</f>
        <v>3</v>
      </c>
    </row>
    <row r="13" spans="2:8" x14ac:dyDescent="0.2">
      <c r="B13" s="6">
        <f>RANK('7oferty p.'!C12,'7oferty p.'!$C$3:'7oferty p.'!$C$28,1)+COUNTIF('7oferty p.'!$C$3:'7oferty p.'!C12,'7oferty p.'!C12)-1</f>
        <v>16</v>
      </c>
      <c r="C13" s="5" t="str">
        <f>INDEX('7oferty p.'!B3:G28,MATCH(10,B4:B29,0),1)</f>
        <v>Przemyśl</v>
      </c>
      <c r="D13" s="6">
        <f>INDEX('7oferty p.'!B3:G28,MATCH(10,B4:B29,0),2)</f>
        <v>62</v>
      </c>
      <c r="E13" s="37">
        <f>INDEX('7oferty p.'!B3:G28,MATCH(10,B4:B29,0),3)</f>
        <v>37</v>
      </c>
      <c r="F13" s="6">
        <f>INDEX('7oferty p.'!B3:G28,MATCH(10,B4:B29,0),4)</f>
        <v>25</v>
      </c>
      <c r="G13" s="37">
        <f>INDEX('7oferty p.'!B3:G28,MATCH(10,B4:B29,0),5)</f>
        <v>77</v>
      </c>
      <c r="H13" s="6">
        <f>INDEX('7oferty p.'!B3:G28,MATCH(10,B4:B29,0),6)</f>
        <v>-15</v>
      </c>
    </row>
    <row r="14" spans="2:8" x14ac:dyDescent="0.2">
      <c r="B14" s="6">
        <f>RANK('7oferty p.'!C13,'7oferty p.'!$C$3:'7oferty p.'!$C$28,1)+COUNTIF('7oferty p.'!$C$3:'7oferty p.'!C13,'7oferty p.'!C13)-1</f>
        <v>17</v>
      </c>
      <c r="C14" s="5" t="str">
        <f>INDEX('7oferty p.'!B3:G28,MATCH(11,B4:B29,0),1)</f>
        <v>strzyżowski</v>
      </c>
      <c r="D14" s="6">
        <f>INDEX('7oferty p.'!B3:G28,MATCH(11,B4:B29,0),2)</f>
        <v>67</v>
      </c>
      <c r="E14" s="37">
        <f>INDEX('7oferty p.'!B3:G28,MATCH(11,B4:B29,0),3)</f>
        <v>115</v>
      </c>
      <c r="F14" s="6">
        <f>INDEX('7oferty p.'!B3:G28,MATCH(11,B4:B29,0),4)</f>
        <v>-48</v>
      </c>
      <c r="G14" s="37">
        <f>INDEX('7oferty p.'!B3:G28,MATCH(11,B4:B29,0),5)</f>
        <v>87</v>
      </c>
      <c r="H14" s="6">
        <f>INDEX('7oferty p.'!B3:G28,MATCH(11,B4:B29,0),6)</f>
        <v>-20</v>
      </c>
    </row>
    <row r="15" spans="2:8" x14ac:dyDescent="0.2">
      <c r="B15" s="6">
        <f>RANK('7oferty p.'!C14,'7oferty p.'!$C$3:'7oferty p.'!$C$28,1)+COUNTIF('7oferty p.'!$C$3:'7oferty p.'!C14,'7oferty p.'!C14)-1</f>
        <v>24</v>
      </c>
      <c r="C15" s="5" t="str">
        <f>INDEX('7oferty p.'!B3:G28,MATCH(12,B4:B29,0),1)</f>
        <v>przeworski</v>
      </c>
      <c r="D15" s="6">
        <f>INDEX('7oferty p.'!B3:G28,MATCH(12,B4:B29,0),2)</f>
        <v>68</v>
      </c>
      <c r="E15" s="37">
        <f>INDEX('7oferty p.'!B3:G28,MATCH(12,B4:B29,0),3)</f>
        <v>94</v>
      </c>
      <c r="F15" s="6">
        <f>INDEX('7oferty p.'!B3:G28,MATCH(12,B4:B29,0),4)</f>
        <v>-26</v>
      </c>
      <c r="G15" s="37">
        <f>INDEX('7oferty p.'!B3:G28,MATCH(12,B4:B29,0),5)</f>
        <v>271</v>
      </c>
      <c r="H15" s="6">
        <f>INDEX('7oferty p.'!B3:G28,MATCH(12,B4:B29,0),6)</f>
        <v>-203</v>
      </c>
    </row>
    <row r="16" spans="2:8" x14ac:dyDescent="0.2">
      <c r="B16" s="6">
        <f>RANK('7oferty p.'!C15,'7oferty p.'!$C$3:'7oferty p.'!$C$28,1)+COUNTIF('7oferty p.'!$C$3:'7oferty p.'!C15,'7oferty p.'!C15)-1</f>
        <v>19</v>
      </c>
      <c r="C16" s="5" t="str">
        <f>INDEX('7oferty p.'!B3:G28,MATCH(13,B4:B29,0),1)</f>
        <v>leżajski</v>
      </c>
      <c r="D16" s="6">
        <f>INDEX('7oferty p.'!B3:G28,MATCH(13,B4:B29,0),2)</f>
        <v>69</v>
      </c>
      <c r="E16" s="37">
        <f>INDEX('7oferty p.'!B3:G28,MATCH(13,B4:B29,0),3)</f>
        <v>58</v>
      </c>
      <c r="F16" s="6">
        <f>INDEX('7oferty p.'!B3:G28,MATCH(13,B4:B29,0),4)</f>
        <v>11</v>
      </c>
      <c r="G16" s="37">
        <f>INDEX('7oferty p.'!B3:G28,MATCH(13,B4:B29,0),5)</f>
        <v>36</v>
      </c>
      <c r="H16" s="6">
        <f>INDEX('7oferty p.'!B3:G28,MATCH(13,B4:B29,0),6)</f>
        <v>33</v>
      </c>
    </row>
    <row r="17" spans="2:8" x14ac:dyDescent="0.2">
      <c r="B17" s="6">
        <f>RANK('7oferty p.'!C16,'7oferty p.'!$C$3:'7oferty p.'!$C$28,1)+COUNTIF('7oferty p.'!$C$3:'7oferty p.'!C16,'7oferty p.'!C16)-1</f>
        <v>3</v>
      </c>
      <c r="C17" s="5" t="str">
        <f>INDEX('7oferty p.'!B3:G28,MATCH(14,B4:B29,0),1)</f>
        <v>jarosławski</v>
      </c>
      <c r="D17" s="6">
        <f>INDEX('7oferty p.'!B3:G28,MATCH(14,B4:B29,0),2)</f>
        <v>70</v>
      </c>
      <c r="E17" s="37">
        <f>INDEX('7oferty p.'!B3:G28,MATCH(14,B4:B29,0),3)</f>
        <v>204</v>
      </c>
      <c r="F17" s="6">
        <f>INDEX('7oferty p.'!B3:G28,MATCH(14,B4:B29,0),4)</f>
        <v>-134</v>
      </c>
      <c r="G17" s="37">
        <f>INDEX('7oferty p.'!B3:G28,MATCH(14,B4:B29,0),5)</f>
        <v>82</v>
      </c>
      <c r="H17" s="6">
        <f>INDEX('7oferty p.'!B3:G28,MATCH(14,B4:B29,0),6)</f>
        <v>-12</v>
      </c>
    </row>
    <row r="18" spans="2:8" x14ac:dyDescent="0.2">
      <c r="B18" s="6">
        <f>RANK('7oferty p.'!C17,'7oferty p.'!$C$3:'7oferty p.'!$C$28,1)+COUNTIF('7oferty p.'!$C$3:'7oferty p.'!C17,'7oferty p.'!C17)-1</f>
        <v>12</v>
      </c>
      <c r="C18" s="5" t="str">
        <f>INDEX('7oferty p.'!B3:G28,MATCH(15,B4:B29,0),1)</f>
        <v>ropczycko-sędziszowski</v>
      </c>
      <c r="D18" s="6">
        <f>INDEX('7oferty p.'!B3:G28,MATCH(15,B4:B29,0),2)</f>
        <v>71</v>
      </c>
      <c r="E18" s="37">
        <f>INDEX('7oferty p.'!B3:G28,MATCH(15,B4:B29,0),3)</f>
        <v>87</v>
      </c>
      <c r="F18" s="6">
        <f>INDEX('7oferty p.'!B3:G28,MATCH(15,B4:B29,0),4)</f>
        <v>-16</v>
      </c>
      <c r="G18" s="37">
        <f>INDEX('7oferty p.'!B3:G28,MATCH(15,B4:B29,0),5)</f>
        <v>99</v>
      </c>
      <c r="H18" s="6">
        <f>INDEX('7oferty p.'!B3:G28,MATCH(15,B4:B29,0),6)</f>
        <v>-28</v>
      </c>
    </row>
    <row r="19" spans="2:8" x14ac:dyDescent="0.2">
      <c r="B19" s="6">
        <f>RANK('7oferty p.'!C18,'7oferty p.'!$C$3:'7oferty p.'!$C$28,1)+COUNTIF('7oferty p.'!$C$3:'7oferty p.'!C18,'7oferty p.'!C18)-1</f>
        <v>15</v>
      </c>
      <c r="C19" s="5" t="str">
        <f>INDEX('7oferty p.'!B3:G28,MATCH(16,B4:B29,0),1)</f>
        <v>lubaczowski</v>
      </c>
      <c r="D19" s="6">
        <f>INDEX('7oferty p.'!B3:G28,MATCH(16,B4:B29,0),2)</f>
        <v>90</v>
      </c>
      <c r="E19" s="37">
        <f>INDEX('7oferty p.'!B3:G28,MATCH(16,B4:B29,0),3)</f>
        <v>66</v>
      </c>
      <c r="F19" s="6">
        <f>INDEX('7oferty p.'!B3:G28,MATCH(16,B4:B29,0),4)</f>
        <v>24</v>
      </c>
      <c r="G19" s="37">
        <f>INDEX('7oferty p.'!B3:G28,MATCH(16,B4:B29,0),5)</f>
        <v>148</v>
      </c>
      <c r="H19" s="6">
        <f>INDEX('7oferty p.'!B3:G28,MATCH(16,B4:B29,0),6)</f>
        <v>-58</v>
      </c>
    </row>
    <row r="20" spans="2:8" x14ac:dyDescent="0.2">
      <c r="B20" s="6">
        <f>RANK('7oferty p.'!C19,'7oferty p.'!$C$3:'7oferty p.'!$C$28,1)+COUNTIF('7oferty p.'!$C$3:'7oferty p.'!C19,'7oferty p.'!C19)-1</f>
        <v>20</v>
      </c>
      <c r="C20" s="5" t="str">
        <f>INDEX('7oferty p.'!B3:G28,MATCH(17,B4:B29,0),1)</f>
        <v>łańcucki</v>
      </c>
      <c r="D20" s="6">
        <f>INDEX('7oferty p.'!B3:G28,MATCH(17,B4:B29,0),2)</f>
        <v>92</v>
      </c>
      <c r="E20" s="37">
        <f>INDEX('7oferty p.'!B3:G28,MATCH(17,B4:B29,0),3)</f>
        <v>52</v>
      </c>
      <c r="F20" s="6">
        <f>INDEX('7oferty p.'!B3:G28,MATCH(17,B4:B29,0),4)</f>
        <v>40</v>
      </c>
      <c r="G20" s="37">
        <f>INDEX('7oferty p.'!B3:G28,MATCH(17,B4:B29,0),5)</f>
        <v>79</v>
      </c>
      <c r="H20" s="6">
        <f>INDEX('7oferty p.'!B3:G28,MATCH(17,B4:B29,0),6)</f>
        <v>13</v>
      </c>
    </row>
    <row r="21" spans="2:8" x14ac:dyDescent="0.2">
      <c r="B21" s="6">
        <f>RANK('7oferty p.'!C20,'7oferty p.'!$C$3:'7oferty p.'!$C$28,1)+COUNTIF('7oferty p.'!$C$3:'7oferty p.'!C20,'7oferty p.'!C20)-1</f>
        <v>7</v>
      </c>
      <c r="C21" s="5" t="str">
        <f>INDEX('7oferty p.'!B3:G28,MATCH(18,B4:B29,0),1)</f>
        <v>stalowowolski</v>
      </c>
      <c r="D21" s="6">
        <f>INDEX('7oferty p.'!B3:G28,MATCH(18,B4:B29,0),2)</f>
        <v>94</v>
      </c>
      <c r="E21" s="37">
        <f>INDEX('7oferty p.'!B3:G28,MATCH(18,B4:B29,0),3)</f>
        <v>102</v>
      </c>
      <c r="F21" s="6">
        <f>INDEX('7oferty p.'!B3:G28,MATCH(18,B4:B29,0),4)</f>
        <v>-8</v>
      </c>
      <c r="G21" s="37">
        <f>INDEX('7oferty p.'!B3:G28,MATCH(18,B4:B29,0),5)</f>
        <v>128</v>
      </c>
      <c r="H21" s="6">
        <f>INDEX('7oferty p.'!B3:G28,MATCH(18,B4:B29,0),6)</f>
        <v>-34</v>
      </c>
    </row>
    <row r="22" spans="2:8" x14ac:dyDescent="0.2">
      <c r="B22" s="6">
        <f>RANK('7oferty p.'!C21,'7oferty p.'!$C$3:'7oferty p.'!$C$28,1)+COUNTIF('7oferty p.'!$C$3:'7oferty p.'!C21,'7oferty p.'!C21)-1</f>
        <v>18</v>
      </c>
      <c r="C22" s="5" t="str">
        <f>INDEX('7oferty p.'!B3:G28,MATCH(19,B4:B29,0),1)</f>
        <v>niżański</v>
      </c>
      <c r="D22" s="6">
        <f>INDEX('7oferty p.'!B3:G28,MATCH(19,B4:B29,0),2)</f>
        <v>109</v>
      </c>
      <c r="E22" s="37">
        <f>INDEX('7oferty p.'!B3:G28,MATCH(19,B4:B29,0),3)</f>
        <v>69</v>
      </c>
      <c r="F22" s="6">
        <f>INDEX('7oferty p.'!B3:G28,MATCH(19,B4:B29,0),4)</f>
        <v>40</v>
      </c>
      <c r="G22" s="37">
        <f>INDEX('7oferty p.'!B3:G28,MATCH(19,B4:B29,0),5)</f>
        <v>57</v>
      </c>
      <c r="H22" s="6">
        <f>INDEX('7oferty p.'!B3:G28,MATCH(19,B4:B29,0),6)</f>
        <v>52</v>
      </c>
    </row>
    <row r="23" spans="2:8" x14ac:dyDescent="0.2">
      <c r="B23" s="6">
        <f>RANK('7oferty p.'!C22,'7oferty p.'!$C$3:'7oferty p.'!$C$28,1)+COUNTIF('7oferty p.'!$C$3:'7oferty p.'!C22,'7oferty p.'!C22)-1</f>
        <v>11</v>
      </c>
      <c r="C23" s="5" t="str">
        <f>INDEX('7oferty p.'!B3:G28,MATCH(20,B4:B29,0),1)</f>
        <v>rzeszowski</v>
      </c>
      <c r="D23" s="6">
        <f>INDEX('7oferty p.'!B3:G28,MATCH(20,B4:B29,0),2)</f>
        <v>119</v>
      </c>
      <c r="E23" s="37">
        <f>INDEX('7oferty p.'!B3:G28,MATCH(20,B4:B29,0),3)</f>
        <v>149</v>
      </c>
      <c r="F23" s="6">
        <f>INDEX('7oferty p.'!B3:G28,MATCH(20,B4:B29,0),4)</f>
        <v>-30</v>
      </c>
      <c r="G23" s="37">
        <f>INDEX('7oferty p.'!B3:G28,MATCH(20,B4:B29,0),5)</f>
        <v>147</v>
      </c>
      <c r="H23" s="6">
        <f>INDEX('7oferty p.'!B3:G28,MATCH(20,B4:B29,0),6)</f>
        <v>-28</v>
      </c>
    </row>
    <row r="24" spans="2:8" x14ac:dyDescent="0.2">
      <c r="B24" s="6">
        <f>RANK('7oferty p.'!C23,'7oferty p.'!$C$3:'7oferty p.'!$C$28,1)+COUNTIF('7oferty p.'!$C$3:'7oferty p.'!C23,'7oferty p.'!C23)-1</f>
        <v>21</v>
      </c>
      <c r="C24" s="5" t="str">
        <f>INDEX('7oferty p.'!B3:G28,MATCH(21,B4:B29,0),1)</f>
        <v xml:space="preserve">tarnobrzeski </v>
      </c>
      <c r="D24" s="6">
        <f>INDEX('7oferty p.'!B3:G28,MATCH(21,B4:B29,0),2)</f>
        <v>131</v>
      </c>
      <c r="E24" s="37">
        <f>INDEX('7oferty p.'!B3:G28,MATCH(21,B4:B29,0),3)</f>
        <v>67</v>
      </c>
      <c r="F24" s="6">
        <f>INDEX('7oferty p.'!B3:G28,MATCH(21,B4:B29,0),4)</f>
        <v>64</v>
      </c>
      <c r="G24" s="37">
        <f>INDEX('7oferty p.'!B3:G28,MATCH(21,B4:B29,0),5)</f>
        <v>32</v>
      </c>
      <c r="H24" s="6">
        <f>INDEX('7oferty p.'!B3:G28,MATCH(21,B4:B29,0),6)</f>
        <v>99</v>
      </c>
    </row>
    <row r="25" spans="2:8" x14ac:dyDescent="0.2">
      <c r="B25" s="6">
        <f>RANK('7oferty p.'!C24,'7oferty p.'!$C$3:'7oferty p.'!$C$28,1)+COUNTIF('7oferty p.'!$C$3:'7oferty p.'!C24,'7oferty p.'!C24)-1</f>
        <v>8</v>
      </c>
      <c r="C25" s="5" t="str">
        <f>INDEX('7oferty p.'!B3:G28,MATCH(22,B4:B29,0),1)</f>
        <v>jasielski</v>
      </c>
      <c r="D25" s="6">
        <f>INDEX('7oferty p.'!B3:G28,MATCH(22,B4:B29,0),2)</f>
        <v>132</v>
      </c>
      <c r="E25" s="37">
        <f>INDEX('7oferty p.'!B3:G28,MATCH(22,B4:B29,0),3)</f>
        <v>211</v>
      </c>
      <c r="F25" s="6">
        <f>INDEX('7oferty p.'!B3:G28,MATCH(22,B4:B29,0),4)</f>
        <v>-79</v>
      </c>
      <c r="G25" s="37">
        <f>INDEX('7oferty p.'!B3:G28,MATCH(22,B4:B29,0),5)</f>
        <v>274</v>
      </c>
      <c r="H25" s="6">
        <f>INDEX('7oferty p.'!B3:G28,MATCH(22,B4:B29,0),6)</f>
        <v>-142</v>
      </c>
    </row>
    <row r="26" spans="2:8" x14ac:dyDescent="0.2">
      <c r="B26" s="6">
        <f>RANK('7oferty p.'!C25,'7oferty p.'!$C$3:'7oferty p.'!$C$28,1)+COUNTIF('7oferty p.'!$C$3:'7oferty p.'!C25,'7oferty p.'!C25)-1</f>
        <v>10</v>
      </c>
      <c r="C26" s="5" t="str">
        <f>INDEX('7oferty p.'!B3:G28,MATCH(23,B4:B29,0),1)</f>
        <v>dębicki</v>
      </c>
      <c r="D26" s="6">
        <f>INDEX('7oferty p.'!B3:G28,MATCH(23,B4:B29,0),2)</f>
        <v>166</v>
      </c>
      <c r="E26" s="37">
        <f>INDEX('7oferty p.'!B3:G28,MATCH(23,B4:B29,0),3)</f>
        <v>170</v>
      </c>
      <c r="F26" s="6">
        <f>INDEX('7oferty p.'!B3:G28,MATCH(23,B4:B29,0),4)</f>
        <v>-4</v>
      </c>
      <c r="G26" s="37">
        <f>INDEX('7oferty p.'!B3:G28,MATCH(23,B4:B29,0),5)</f>
        <v>274</v>
      </c>
      <c r="H26" s="6">
        <f>INDEX('7oferty p.'!B3:G28,MATCH(23,B4:B29,0),6)</f>
        <v>-108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mielecki</v>
      </c>
      <c r="D27" s="6">
        <f>INDEX('7oferty p.'!B3:G28,MATCH(24,B4:B29,0),2)</f>
        <v>212</v>
      </c>
      <c r="E27" s="37">
        <f>INDEX('7oferty p.'!B3:G28,MATCH(24,B4:B29,0),3)</f>
        <v>209</v>
      </c>
      <c r="F27" s="6">
        <f>INDEX('7oferty p.'!B3:G28,MATCH(24,B4:B29,0),4)</f>
        <v>3</v>
      </c>
      <c r="G27" s="37">
        <f>INDEX('7oferty p.'!B3:G28,MATCH(24,B4:B29,0),5)</f>
        <v>236</v>
      </c>
      <c r="H27" s="6">
        <f>INDEX('7oferty p.'!B3:G28,MATCH(24,B4:B29,0),6)</f>
        <v>-24</v>
      </c>
    </row>
    <row r="28" spans="2:8" x14ac:dyDescent="0.2">
      <c r="B28" s="6">
        <f>RANK('7oferty p.'!C27,'7oferty p.'!$C$3:'7oferty p.'!$C$28,1)+COUNTIF('7oferty p.'!$C$3:'7oferty p.'!C27,'7oferty p.'!C27)-1</f>
        <v>5</v>
      </c>
      <c r="C28" s="5" t="str">
        <f>INDEX('7oferty p.'!B3:G28,MATCH(25,B4:B29,0),1)</f>
        <v>Rzeszów</v>
      </c>
      <c r="D28" s="6">
        <f>INDEX('7oferty p.'!B3:G28,MATCH(25,B4:B29,0),2)</f>
        <v>316</v>
      </c>
      <c r="E28" s="37">
        <f>INDEX('7oferty p.'!B3:G28,MATCH(25,B4:B29,0),3)</f>
        <v>399</v>
      </c>
      <c r="F28" s="6">
        <f>INDEX('7oferty p.'!B3:G28,MATCH(25,B4:B29,0),4)</f>
        <v>-83</v>
      </c>
      <c r="G28" s="37">
        <f>INDEX('7oferty p.'!B3:G28,MATCH(25,B4:B29,0),5)</f>
        <v>396</v>
      </c>
      <c r="H28" s="6">
        <f>INDEX('7oferty p.'!B3:G28,MATCH(25,B4:B29,0),6)</f>
        <v>-80</v>
      </c>
    </row>
    <row r="29" spans="2:8" ht="15" x14ac:dyDescent="0.25">
      <c r="B29" s="17">
        <f>RANK('7oferty p.'!C28,'7oferty p.'!$C$3:'7oferty p.'!$C$28,1)+COUNTIF('7oferty p.'!$C$3:'7oferty p.'!C28,'7oferty p.'!C28)-1</f>
        <v>26</v>
      </c>
      <c r="C29" s="34" t="str">
        <f>INDEX('7oferty p.'!B3:G28,MATCH(26,B4:B29,0),1)</f>
        <v>województwo</v>
      </c>
      <c r="D29" s="35">
        <f>INDEX('7oferty p.'!B3:G28,MATCH(26,B4:B29,0),2)</f>
        <v>2228</v>
      </c>
      <c r="E29" s="39">
        <f>INDEX('7oferty p.'!B3:G28,MATCH(26,B4:B29,0),3)</f>
        <v>2527</v>
      </c>
      <c r="F29" s="35">
        <f>INDEX('7oferty p.'!B3:G28,MATCH(26,B4:B29,0),4)</f>
        <v>-299</v>
      </c>
      <c r="G29" s="39">
        <f>INDEX('7oferty p.'!B3:G28,MATCH(26,B4:B29,0),5)</f>
        <v>2829</v>
      </c>
      <c r="H29" s="35">
        <f>INDEX('7oferty p.'!B3:G28,MATCH(26,B4:B29,0),6)</f>
        <v>-601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27" t="s">
        <v>40</v>
      </c>
      <c r="C1" s="25"/>
      <c r="D1" s="25"/>
      <c r="E1" s="25"/>
      <c r="F1" s="25"/>
      <c r="G1" s="25"/>
      <c r="H1" s="26"/>
      <c r="I1" s="26"/>
      <c r="J1" s="26"/>
      <c r="K1" s="26"/>
    </row>
    <row r="2" spans="2:11" ht="14.25" customHeight="1" x14ac:dyDescent="0.2">
      <c r="B2" s="1" t="s">
        <v>41</v>
      </c>
      <c r="C2" s="20"/>
      <c r="D2" s="20"/>
      <c r="E2" s="20"/>
      <c r="F2" s="20"/>
      <c r="G2" s="20"/>
      <c r="H2" s="26"/>
      <c r="I2" s="26"/>
      <c r="J2" s="26"/>
      <c r="K2" s="26"/>
    </row>
    <row r="3" spans="2:11" ht="57" x14ac:dyDescent="0.2">
      <c r="B3" s="31" t="s">
        <v>27</v>
      </c>
      <c r="C3" s="32" t="s">
        <v>102</v>
      </c>
      <c r="D3" s="33" t="s">
        <v>75</v>
      </c>
      <c r="E3" s="32" t="s">
        <v>28</v>
      </c>
      <c r="F3" s="33" t="s">
        <v>103</v>
      </c>
      <c r="G3" s="32" t="s">
        <v>26</v>
      </c>
    </row>
    <row r="4" spans="2:11" x14ac:dyDescent="0.2">
      <c r="B4" s="5" t="s">
        <v>0</v>
      </c>
      <c r="C4" s="23">
        <v>3</v>
      </c>
      <c r="D4" s="37">
        <v>9</v>
      </c>
      <c r="E4" s="23">
        <f t="shared" ref="E4:E28" si="0">SUM(C4)-D4</f>
        <v>-6</v>
      </c>
      <c r="F4" s="37">
        <v>24</v>
      </c>
      <c r="G4" s="23">
        <f t="shared" ref="G4:G28" si="1">SUM(C4)-F4</f>
        <v>-21</v>
      </c>
      <c r="H4" s="7"/>
    </row>
    <row r="5" spans="2:11" x14ac:dyDescent="0.2">
      <c r="B5" s="5" t="s">
        <v>1</v>
      </c>
      <c r="C5" s="23">
        <v>47</v>
      </c>
      <c r="D5" s="37">
        <v>44</v>
      </c>
      <c r="E5" s="23">
        <f t="shared" si="0"/>
        <v>3</v>
      </c>
      <c r="F5" s="37">
        <v>74</v>
      </c>
      <c r="G5" s="23">
        <f t="shared" si="1"/>
        <v>-27</v>
      </c>
      <c r="H5" s="7"/>
    </row>
    <row r="6" spans="2:11" x14ac:dyDescent="0.2">
      <c r="B6" s="5" t="s">
        <v>2</v>
      </c>
      <c r="C6" s="23">
        <v>37</v>
      </c>
      <c r="D6" s="37">
        <v>21</v>
      </c>
      <c r="E6" s="23">
        <f t="shared" si="0"/>
        <v>16</v>
      </c>
      <c r="F6" s="37">
        <v>42</v>
      </c>
      <c r="G6" s="23">
        <f t="shared" si="1"/>
        <v>-5</v>
      </c>
      <c r="H6" s="7"/>
    </row>
    <row r="7" spans="2:11" x14ac:dyDescent="0.2">
      <c r="B7" s="5" t="s">
        <v>3</v>
      </c>
      <c r="C7" s="23">
        <v>26</v>
      </c>
      <c r="D7" s="37">
        <v>149</v>
      </c>
      <c r="E7" s="23">
        <f t="shared" si="0"/>
        <v>-123</v>
      </c>
      <c r="F7" s="37">
        <v>41</v>
      </c>
      <c r="G7" s="23">
        <f t="shared" si="1"/>
        <v>-15</v>
      </c>
      <c r="H7" s="7"/>
    </row>
    <row r="8" spans="2:11" x14ac:dyDescent="0.2">
      <c r="B8" s="5" t="s">
        <v>4</v>
      </c>
      <c r="C8" s="23">
        <v>47</v>
      </c>
      <c r="D8" s="37">
        <v>81</v>
      </c>
      <c r="E8" s="23">
        <f t="shared" si="0"/>
        <v>-34</v>
      </c>
      <c r="F8" s="37">
        <v>78</v>
      </c>
      <c r="G8" s="23">
        <f t="shared" si="1"/>
        <v>-31</v>
      </c>
      <c r="H8" s="7"/>
    </row>
    <row r="9" spans="2:11" x14ac:dyDescent="0.2">
      <c r="B9" s="5" t="s">
        <v>5</v>
      </c>
      <c r="C9" s="23">
        <v>28</v>
      </c>
      <c r="D9" s="37">
        <v>29</v>
      </c>
      <c r="E9" s="23">
        <f t="shared" si="0"/>
        <v>-1</v>
      </c>
      <c r="F9" s="37">
        <v>29</v>
      </c>
      <c r="G9" s="23">
        <f t="shared" si="1"/>
        <v>-1</v>
      </c>
      <c r="H9" s="7"/>
    </row>
    <row r="10" spans="2:11" x14ac:dyDescent="0.2">
      <c r="B10" s="9" t="s">
        <v>6</v>
      </c>
      <c r="C10" s="23">
        <v>17</v>
      </c>
      <c r="D10" s="37">
        <v>17</v>
      </c>
      <c r="E10" s="23">
        <f t="shared" si="0"/>
        <v>0</v>
      </c>
      <c r="F10" s="37">
        <v>23</v>
      </c>
      <c r="G10" s="23">
        <f t="shared" si="1"/>
        <v>-6</v>
      </c>
      <c r="H10" s="7"/>
    </row>
    <row r="11" spans="2:11" x14ac:dyDescent="0.2">
      <c r="B11" s="5" t="s">
        <v>7</v>
      </c>
      <c r="C11" s="23">
        <v>24</v>
      </c>
      <c r="D11" s="37">
        <v>40</v>
      </c>
      <c r="E11" s="23">
        <f t="shared" si="0"/>
        <v>-16</v>
      </c>
      <c r="F11" s="37">
        <v>13</v>
      </c>
      <c r="G11" s="23">
        <f t="shared" si="1"/>
        <v>11</v>
      </c>
      <c r="H11" s="7"/>
    </row>
    <row r="12" spans="2:11" x14ac:dyDescent="0.2">
      <c r="B12" s="5" t="s">
        <v>8</v>
      </c>
      <c r="C12" s="23">
        <v>41</v>
      </c>
      <c r="D12" s="37">
        <v>35</v>
      </c>
      <c r="E12" s="23">
        <f t="shared" si="0"/>
        <v>6</v>
      </c>
      <c r="F12" s="37">
        <v>14</v>
      </c>
      <c r="G12" s="23">
        <f t="shared" si="1"/>
        <v>27</v>
      </c>
      <c r="H12" s="7"/>
    </row>
    <row r="13" spans="2:11" x14ac:dyDescent="0.2">
      <c r="B13" s="5" t="s">
        <v>9</v>
      </c>
      <c r="C13" s="23">
        <v>42</v>
      </c>
      <c r="D13" s="37">
        <v>50</v>
      </c>
      <c r="E13" s="23">
        <f t="shared" si="0"/>
        <v>-8</v>
      </c>
      <c r="F13" s="37">
        <v>76</v>
      </c>
      <c r="G13" s="23">
        <f t="shared" si="1"/>
        <v>-34</v>
      </c>
      <c r="H13" s="7"/>
    </row>
    <row r="14" spans="2:11" x14ac:dyDescent="0.2">
      <c r="B14" s="5" t="s">
        <v>10</v>
      </c>
      <c r="C14" s="23">
        <v>41</v>
      </c>
      <c r="D14" s="37">
        <v>2</v>
      </c>
      <c r="E14" s="23">
        <f t="shared" si="0"/>
        <v>39</v>
      </c>
      <c r="F14" s="37">
        <v>46</v>
      </c>
      <c r="G14" s="23">
        <f t="shared" si="1"/>
        <v>-5</v>
      </c>
      <c r="H14" s="7"/>
    </row>
    <row r="15" spans="2:11" x14ac:dyDescent="0.2">
      <c r="B15" s="5" t="s">
        <v>11</v>
      </c>
      <c r="C15" s="23">
        <v>58</v>
      </c>
      <c r="D15" s="37">
        <v>96</v>
      </c>
      <c r="E15" s="23">
        <f t="shared" si="0"/>
        <v>-38</v>
      </c>
      <c r="F15" s="37">
        <v>78</v>
      </c>
      <c r="G15" s="23">
        <f t="shared" si="1"/>
        <v>-20</v>
      </c>
      <c r="H15" s="7"/>
    </row>
    <row r="16" spans="2:11" x14ac:dyDescent="0.2">
      <c r="B16" s="5" t="s">
        <v>12</v>
      </c>
      <c r="C16" s="23">
        <v>63</v>
      </c>
      <c r="D16" s="37">
        <v>49</v>
      </c>
      <c r="E16" s="23">
        <f t="shared" si="0"/>
        <v>14</v>
      </c>
      <c r="F16" s="37">
        <v>37</v>
      </c>
      <c r="G16" s="23">
        <f t="shared" si="1"/>
        <v>26</v>
      </c>
      <c r="H16" s="7"/>
    </row>
    <row r="17" spans="2:8" x14ac:dyDescent="0.2">
      <c r="B17" s="5" t="s">
        <v>13</v>
      </c>
      <c r="C17" s="23">
        <v>25</v>
      </c>
      <c r="D17" s="37">
        <v>8</v>
      </c>
      <c r="E17" s="23">
        <f t="shared" si="0"/>
        <v>17</v>
      </c>
      <c r="F17" s="37">
        <v>17</v>
      </c>
      <c r="G17" s="23">
        <f t="shared" si="1"/>
        <v>8</v>
      </c>
      <c r="H17" s="7"/>
    </row>
    <row r="18" spans="2:8" x14ac:dyDescent="0.2">
      <c r="B18" s="5" t="s">
        <v>14</v>
      </c>
      <c r="C18" s="23">
        <v>33</v>
      </c>
      <c r="D18" s="37">
        <v>82</v>
      </c>
      <c r="E18" s="23">
        <f t="shared" si="0"/>
        <v>-49</v>
      </c>
      <c r="F18" s="37">
        <v>119</v>
      </c>
      <c r="G18" s="23">
        <f t="shared" si="1"/>
        <v>-86</v>
      </c>
      <c r="H18" s="7"/>
    </row>
    <row r="19" spans="2:8" x14ac:dyDescent="0.2">
      <c r="B19" s="5" t="s">
        <v>15</v>
      </c>
      <c r="C19" s="23">
        <v>39</v>
      </c>
      <c r="D19" s="37">
        <v>60</v>
      </c>
      <c r="E19" s="23">
        <f t="shared" si="0"/>
        <v>-21</v>
      </c>
      <c r="F19" s="37">
        <v>49</v>
      </c>
      <c r="G19" s="23">
        <f t="shared" si="1"/>
        <v>-10</v>
      </c>
      <c r="H19" s="7"/>
    </row>
    <row r="20" spans="2:8" x14ac:dyDescent="0.2">
      <c r="B20" s="5" t="s">
        <v>16</v>
      </c>
      <c r="C20" s="23">
        <v>22</v>
      </c>
      <c r="D20" s="37">
        <v>35</v>
      </c>
      <c r="E20" s="23">
        <f t="shared" si="0"/>
        <v>-13</v>
      </c>
      <c r="F20" s="37">
        <v>40</v>
      </c>
      <c r="G20" s="23">
        <f t="shared" si="1"/>
        <v>-18</v>
      </c>
      <c r="H20" s="7"/>
    </row>
    <row r="21" spans="2:8" x14ac:dyDescent="0.2">
      <c r="B21" s="5" t="s">
        <v>17</v>
      </c>
      <c r="C21" s="23">
        <v>15</v>
      </c>
      <c r="D21" s="37">
        <v>39</v>
      </c>
      <c r="E21" s="23">
        <f t="shared" si="0"/>
        <v>-24</v>
      </c>
      <c r="F21" s="37">
        <v>34</v>
      </c>
      <c r="G21" s="23">
        <f t="shared" si="1"/>
        <v>-19</v>
      </c>
      <c r="H21" s="7"/>
    </row>
    <row r="22" spans="2:8" x14ac:dyDescent="0.2">
      <c r="B22" s="5" t="s">
        <v>18</v>
      </c>
      <c r="C22" s="23">
        <v>62</v>
      </c>
      <c r="D22" s="37">
        <v>47</v>
      </c>
      <c r="E22" s="23">
        <f t="shared" si="0"/>
        <v>15</v>
      </c>
      <c r="F22" s="37">
        <v>42</v>
      </c>
      <c r="G22" s="23">
        <f t="shared" si="1"/>
        <v>20</v>
      </c>
      <c r="H22" s="7"/>
    </row>
    <row r="23" spans="2:8" x14ac:dyDescent="0.2">
      <c r="B23" s="5" t="s">
        <v>19</v>
      </c>
      <c r="C23" s="23">
        <v>48</v>
      </c>
      <c r="D23" s="37">
        <v>68</v>
      </c>
      <c r="E23" s="23">
        <f t="shared" si="0"/>
        <v>-20</v>
      </c>
      <c r="F23" s="37">
        <v>38</v>
      </c>
      <c r="G23" s="23">
        <f t="shared" si="1"/>
        <v>10</v>
      </c>
      <c r="H23" s="7"/>
    </row>
    <row r="24" spans="2:8" x14ac:dyDescent="0.2">
      <c r="B24" s="5" t="s">
        <v>20</v>
      </c>
      <c r="C24" s="23">
        <v>2</v>
      </c>
      <c r="D24" s="37">
        <v>37</v>
      </c>
      <c r="E24" s="23">
        <f t="shared" si="0"/>
        <v>-35</v>
      </c>
      <c r="F24" s="37">
        <v>9</v>
      </c>
      <c r="G24" s="23">
        <f t="shared" si="1"/>
        <v>-7</v>
      </c>
      <c r="H24" s="7"/>
    </row>
    <row r="25" spans="2:8" x14ac:dyDescent="0.2">
      <c r="B25" s="5" t="s">
        <v>21</v>
      </c>
      <c r="C25" s="23">
        <v>9</v>
      </c>
      <c r="D25" s="37">
        <v>11</v>
      </c>
      <c r="E25" s="23">
        <f t="shared" si="0"/>
        <v>-2</v>
      </c>
      <c r="F25" s="37">
        <v>8</v>
      </c>
      <c r="G25" s="23">
        <f t="shared" si="1"/>
        <v>1</v>
      </c>
      <c r="H25" s="7"/>
    </row>
    <row r="26" spans="2:8" x14ac:dyDescent="0.2">
      <c r="B26" s="5" t="s">
        <v>22</v>
      </c>
      <c r="C26" s="23">
        <v>30</v>
      </c>
      <c r="D26" s="37">
        <v>12</v>
      </c>
      <c r="E26" s="23">
        <f t="shared" si="0"/>
        <v>18</v>
      </c>
      <c r="F26" s="37">
        <v>25</v>
      </c>
      <c r="G26" s="23">
        <f t="shared" si="1"/>
        <v>5</v>
      </c>
      <c r="H26" s="7"/>
    </row>
    <row r="27" spans="2:8" x14ac:dyDescent="0.2">
      <c r="B27" s="5" t="s">
        <v>23</v>
      </c>
      <c r="C27" s="23">
        <v>50</v>
      </c>
      <c r="D27" s="37">
        <v>66</v>
      </c>
      <c r="E27" s="23">
        <f t="shared" si="0"/>
        <v>-16</v>
      </c>
      <c r="F27" s="37">
        <v>70</v>
      </c>
      <c r="G27" s="23">
        <f t="shared" si="1"/>
        <v>-20</v>
      </c>
      <c r="H27" s="7"/>
    </row>
    <row r="28" spans="2:8" x14ac:dyDescent="0.2">
      <c r="B28" s="5" t="s">
        <v>24</v>
      </c>
      <c r="C28" s="23">
        <v>9</v>
      </c>
      <c r="D28" s="37">
        <v>40</v>
      </c>
      <c r="E28" s="23">
        <f t="shared" si="0"/>
        <v>-31</v>
      </c>
      <c r="F28" s="37">
        <v>21</v>
      </c>
      <c r="G28" s="23">
        <f t="shared" si="1"/>
        <v>-12</v>
      </c>
      <c r="H28" s="7"/>
    </row>
    <row r="29" spans="2:8" ht="15" x14ac:dyDescent="0.25">
      <c r="B29" s="34" t="s">
        <v>25</v>
      </c>
      <c r="C29" s="43">
        <f>SUM(C4:C28)</f>
        <v>818</v>
      </c>
      <c r="D29" s="39">
        <f>SUM(D4:D28)</f>
        <v>1127</v>
      </c>
      <c r="E29" s="43">
        <f>SUM(E4:E28)</f>
        <v>-309</v>
      </c>
      <c r="F29" s="39">
        <f>SUM(F4:F28)</f>
        <v>1047</v>
      </c>
      <c r="G29" s="43">
        <f>SUM(G4:G28)</f>
        <v>-229</v>
      </c>
      <c r="H29" s="7"/>
    </row>
    <row r="30" spans="2:8" ht="12" customHeight="1" x14ac:dyDescent="0.2">
      <c r="B30" s="4"/>
      <c r="C30" s="14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28"/>
      <c r="D1" s="28"/>
      <c r="E1" s="28"/>
      <c r="F1" s="28"/>
      <c r="G1" s="28"/>
      <c r="H1" s="28"/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T('8oferty s.'!B3)</f>
        <v>powiaty</v>
      </c>
      <c r="D3" s="31" t="str">
        <f>T('8oferty s.'!C3)</f>
        <v>liczba ofert w 05-'26 r.</v>
      </c>
      <c r="E3" s="31" t="str">
        <f>T('8oferty s.'!D3)</f>
        <v>liczba ofert w 04-'26 r.</v>
      </c>
      <c r="F3" s="31" t="str">
        <f>T('8oferty s.'!E3)</f>
        <v>wzrost/spadek do poprzedniego  miesiąca</v>
      </c>
      <c r="G3" s="31" t="str">
        <f>T('8oferty s.'!F3)</f>
        <v>liczba ofert w 05-'25 r.</v>
      </c>
      <c r="H3" s="31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2</v>
      </c>
      <c r="C4" s="5" t="str">
        <f>INDEX('8oferty s.'!B4:G29,MATCH(1,B4:B29,0),1)</f>
        <v xml:space="preserve">tarnobrzeski </v>
      </c>
      <c r="D4" s="19">
        <f>INDEX('8oferty s.'!B4:G29,MATCH(1,B4:B29,0),2)</f>
        <v>2</v>
      </c>
      <c r="E4" s="37">
        <f>INDEX('8oferty s.'!B4:G29,MATCH(1,B4:B29,0),3)</f>
        <v>37</v>
      </c>
      <c r="F4" s="6">
        <f>INDEX('8oferty s.'!B4:G29,MATCH(1,B4:B29,0),4)</f>
        <v>-35</v>
      </c>
      <c r="G4" s="37">
        <f>INDEX('8oferty s.'!B4:G29,MATCH(1,B4:B29,0),5)</f>
        <v>9</v>
      </c>
      <c r="H4" s="6">
        <f>INDEX('8oferty s.'!B4:G29,MATCH(1,B4:B29,0),6)</f>
        <v>-7</v>
      </c>
    </row>
    <row r="5" spans="2:8" x14ac:dyDescent="0.2">
      <c r="B5" s="6">
        <f>RANK('8oferty s.'!C5,'8oferty s.'!$C$4:'8oferty s.'!$C$29,1)+COUNTIF('8oferty s.'!$C$4:'8oferty s.'!C5,'8oferty s.'!C5)-1</f>
        <v>19</v>
      </c>
      <c r="C5" s="5" t="str">
        <f>INDEX('8oferty s.'!B4:G29,MATCH(2,B4:B29,0),1)</f>
        <v>bieszczadzki</v>
      </c>
      <c r="D5" s="6">
        <f>INDEX('8oferty s.'!B4:G29,MATCH(2,B4:B29,0),2)</f>
        <v>3</v>
      </c>
      <c r="E5" s="37">
        <f>INDEX('8oferty s.'!B4:G29,MATCH(2,B4:B29,0),3)</f>
        <v>9</v>
      </c>
      <c r="F5" s="6">
        <f>INDEX('8oferty s.'!B4:G29,MATCH(2,B4:B29,0),4)</f>
        <v>-6</v>
      </c>
      <c r="G5" s="37">
        <f>INDEX('8oferty s.'!B4:G29,MATCH(2,B4:B29,0),5)</f>
        <v>24</v>
      </c>
      <c r="H5" s="6">
        <f>INDEX('8oferty s.'!B4:G29,MATCH(2,B4:B29,0),6)</f>
        <v>-21</v>
      </c>
    </row>
    <row r="6" spans="2:8" x14ac:dyDescent="0.2">
      <c r="B6" s="6">
        <f>RANK('8oferty s.'!C6,'8oferty s.'!$C$4:'8oferty s.'!$C$29,1)+COUNTIF('8oferty s.'!$C$4:'8oferty s.'!C6,'8oferty s.'!C6)-1</f>
        <v>14</v>
      </c>
      <c r="C6" s="5" t="str">
        <f>INDEX('8oferty s.'!B4:G29,MATCH(3,B4:B29,0),1)</f>
        <v>Krosno</v>
      </c>
      <c r="D6" s="6">
        <f>INDEX('8oferty s.'!B4:G29,MATCH(3,B4:B29,0),2)</f>
        <v>9</v>
      </c>
      <c r="E6" s="37">
        <f>INDEX('8oferty s.'!B4:G29,MATCH(3,B4:B29,0),3)</f>
        <v>11</v>
      </c>
      <c r="F6" s="6">
        <f>INDEX('8oferty s.'!B4:G29,MATCH(3,B4:B29,0),4)</f>
        <v>-2</v>
      </c>
      <c r="G6" s="37">
        <f>INDEX('8oferty s.'!B4:G29,MATCH(3,B4:B29,0),5)</f>
        <v>8</v>
      </c>
      <c r="H6" s="6">
        <f>INDEX('8oferty s.'!B4:G29,MATCH(3,B4:B29,0),6)</f>
        <v>1</v>
      </c>
    </row>
    <row r="7" spans="2:8" x14ac:dyDescent="0.2">
      <c r="B7" s="6">
        <f>RANK('8oferty s.'!C7,'8oferty s.'!$C$4:'8oferty s.'!$C$29,1)+COUNTIF('8oferty s.'!$C$4:'8oferty s.'!C7,'8oferty s.'!C7)-1</f>
        <v>10</v>
      </c>
      <c r="C7" s="5" t="str">
        <f>INDEX('8oferty s.'!B4:G29,MATCH(4,B4:B29,0),1)</f>
        <v>Tarnobrzeg</v>
      </c>
      <c r="D7" s="6">
        <f>INDEX('8oferty s.'!B4:G29,MATCH(4,B4:B29,0),2)</f>
        <v>9</v>
      </c>
      <c r="E7" s="37">
        <f>INDEX('8oferty s.'!B4:G29,MATCH(4,B4:B29,0),3)</f>
        <v>40</v>
      </c>
      <c r="F7" s="6">
        <f>INDEX('8oferty s.'!B4:G29,MATCH(4,B4:B29,0),4)</f>
        <v>-31</v>
      </c>
      <c r="G7" s="37">
        <f>INDEX('8oferty s.'!B4:G29,MATCH(4,B4:B29,0),5)</f>
        <v>21</v>
      </c>
      <c r="H7" s="6">
        <f>INDEX('8oferty s.'!B4:G29,MATCH(4,B4:B29,0),6)</f>
        <v>-12</v>
      </c>
    </row>
    <row r="8" spans="2:8" x14ac:dyDescent="0.2">
      <c r="B8" s="6">
        <f>RANK('8oferty s.'!C8,'8oferty s.'!$C$4:'8oferty s.'!$C$29,1)+COUNTIF('8oferty s.'!$C$4:'8oferty s.'!C8,'8oferty s.'!C8)-1</f>
        <v>20</v>
      </c>
      <c r="C8" s="5" t="str">
        <f>INDEX('8oferty s.'!B4:G29,MATCH(5,B4:B29,0),1)</f>
        <v>sanocki</v>
      </c>
      <c r="D8" s="6">
        <f>INDEX('8oferty s.'!B4:G29,MATCH(5,B4:B29,0),2)</f>
        <v>15</v>
      </c>
      <c r="E8" s="37">
        <f>INDEX('8oferty s.'!B4:G29,MATCH(5,B4:B29,0),3)</f>
        <v>39</v>
      </c>
      <c r="F8" s="6">
        <f>INDEX('8oferty s.'!B4:G29,MATCH(5,B4:B29,0),4)</f>
        <v>-24</v>
      </c>
      <c r="G8" s="37">
        <f>INDEX('8oferty s.'!B4:G29,MATCH(5,B4:B29,0),5)</f>
        <v>34</v>
      </c>
      <c r="H8" s="6">
        <f>INDEX('8oferty s.'!B4:G29,MATCH(5,B4:B29,0),6)</f>
        <v>-19</v>
      </c>
    </row>
    <row r="9" spans="2:8" x14ac:dyDescent="0.2">
      <c r="B9" s="6">
        <f>RANK('8oferty s.'!C9,'8oferty s.'!$C$4:'8oferty s.'!$C$29,1)+COUNTIF('8oferty s.'!$C$4:'8oferty s.'!C9,'8oferty s.'!C9)-1</f>
        <v>11</v>
      </c>
      <c r="C9" s="5" t="str">
        <f>INDEX('8oferty s.'!B4:G29,MATCH(6,B4:B29,0),1)</f>
        <v>krośnieński</v>
      </c>
      <c r="D9" s="6">
        <f>INDEX('8oferty s.'!B4:G29,MATCH(6,B4:B29,0),2)</f>
        <v>17</v>
      </c>
      <c r="E9" s="37">
        <f>INDEX('8oferty s.'!B4:G29,MATCH(6,B4:B29,0),3)</f>
        <v>17</v>
      </c>
      <c r="F9" s="6">
        <f>INDEX('8oferty s.'!B4:G29,MATCH(6,B4:B29,0),4)</f>
        <v>0</v>
      </c>
      <c r="G9" s="37">
        <f>INDEX('8oferty s.'!B4:G29,MATCH(6,B4:B29,0),5)</f>
        <v>23</v>
      </c>
      <c r="H9" s="6">
        <f>INDEX('8oferty s.'!B4:G29,MATCH(6,B4:B29,0),6)</f>
        <v>-6</v>
      </c>
    </row>
    <row r="10" spans="2:8" x14ac:dyDescent="0.2">
      <c r="B10" s="6">
        <f>RANK('8oferty s.'!C10,'8oferty s.'!$C$4:'8oferty s.'!$C$29,1)+COUNTIF('8oferty s.'!$C$4:'8oferty s.'!C10,'8oferty s.'!C10)-1</f>
        <v>6</v>
      </c>
      <c r="C10" s="9" t="str">
        <f>INDEX('8oferty s.'!B4:G29,MATCH(7,B4:B29,0),1)</f>
        <v>rzeszowski</v>
      </c>
      <c r="D10" s="6">
        <f>INDEX('8oferty s.'!B4:G29,MATCH(7,B4:B29,0),2)</f>
        <v>22</v>
      </c>
      <c r="E10" s="37">
        <f>INDEX('8oferty s.'!B4:G29,MATCH(7,B4:B29,0),3)</f>
        <v>35</v>
      </c>
      <c r="F10" s="6">
        <f>INDEX('8oferty s.'!B4:G29,MATCH(7,B4:B29,0),4)</f>
        <v>-13</v>
      </c>
      <c r="G10" s="37">
        <f>INDEX('8oferty s.'!B4:G29,MATCH(7,B4:B29,0),5)</f>
        <v>40</v>
      </c>
      <c r="H10" s="6">
        <f>INDEX('8oferty s.'!B4:G29,MATCH(7,B4:B29,0),6)</f>
        <v>-18</v>
      </c>
    </row>
    <row r="11" spans="2:8" x14ac:dyDescent="0.2">
      <c r="B11" s="6">
        <f>RANK('8oferty s.'!C11,'8oferty s.'!$C$4:'8oferty s.'!$C$29,1)+COUNTIF('8oferty s.'!$C$4:'8oferty s.'!C11,'8oferty s.'!C11)-1</f>
        <v>8</v>
      </c>
      <c r="C11" s="5" t="str">
        <f>INDEX('8oferty s.'!B4:G29,MATCH(8,B4:B29,0),1)</f>
        <v>leski</v>
      </c>
      <c r="D11" s="6">
        <f>INDEX('8oferty s.'!B4:G29,MATCH(8,B4:B29,0),2)</f>
        <v>24</v>
      </c>
      <c r="E11" s="37">
        <f>INDEX('8oferty s.'!B4:G29,MATCH(8,B4:B29,0),3)</f>
        <v>40</v>
      </c>
      <c r="F11" s="6">
        <f>INDEX('8oferty s.'!B4:G29,MATCH(8,B4:B29,0),4)</f>
        <v>-16</v>
      </c>
      <c r="G11" s="37">
        <f>INDEX('8oferty s.'!B4:G29,MATCH(8,B4:B29,0),5)</f>
        <v>13</v>
      </c>
      <c r="H11" s="6">
        <f>INDEX('8oferty s.'!B4:G29,MATCH(8,B4:B29,0),6)</f>
        <v>11</v>
      </c>
    </row>
    <row r="12" spans="2:8" x14ac:dyDescent="0.2">
      <c r="B12" s="6">
        <f>RANK('8oferty s.'!C12,'8oferty s.'!$C$4:'8oferty s.'!$C$29,1)+COUNTIF('8oferty s.'!$C$4:'8oferty s.'!C12,'8oferty s.'!C12)-1</f>
        <v>16</v>
      </c>
      <c r="C12" s="5" t="str">
        <f>INDEX('8oferty s.'!B4:G29,MATCH(9,B4:B29,0),1)</f>
        <v>przemyski</v>
      </c>
      <c r="D12" s="6">
        <f>INDEX('8oferty s.'!B4:G29,MATCH(9,B4:B29,0),2)</f>
        <v>25</v>
      </c>
      <c r="E12" s="37">
        <f>INDEX('8oferty s.'!B4:G29,MATCH(9,B4:B29,0),3)</f>
        <v>8</v>
      </c>
      <c r="F12" s="6">
        <f>INDEX('8oferty s.'!B4:G29,MATCH(9,B4:B29,0),4)</f>
        <v>17</v>
      </c>
      <c r="G12" s="37">
        <f>INDEX('8oferty s.'!B4:G29,MATCH(9,B4:B29,0),5)</f>
        <v>17</v>
      </c>
      <c r="H12" s="6">
        <f>INDEX('8oferty s.'!B4:G29,MATCH(9,B4:B29,0),6)</f>
        <v>8</v>
      </c>
    </row>
    <row r="13" spans="2:8" x14ac:dyDescent="0.2">
      <c r="B13" s="6">
        <f>RANK('8oferty s.'!C13,'8oferty s.'!$C$4:'8oferty s.'!$C$29,1)+COUNTIF('8oferty s.'!$C$4:'8oferty s.'!C13,'8oferty s.'!C13)-1</f>
        <v>18</v>
      </c>
      <c r="C13" s="5" t="str">
        <f>INDEX('8oferty s.'!B4:G29,MATCH(10,B4:B29,0),1)</f>
        <v>jarosławski</v>
      </c>
      <c r="D13" s="6">
        <f>INDEX('8oferty s.'!B4:G29,MATCH(10,B4:B29,0),2)</f>
        <v>26</v>
      </c>
      <c r="E13" s="37">
        <f>INDEX('8oferty s.'!B4:G29,MATCH(10,B4:B29,0),3)</f>
        <v>149</v>
      </c>
      <c r="F13" s="6">
        <f>INDEX('8oferty s.'!B4:G29,MATCH(10,B4:B29,0),4)</f>
        <v>-123</v>
      </c>
      <c r="G13" s="37">
        <f>INDEX('8oferty s.'!B4:G29,MATCH(10,B4:B29,0),5)</f>
        <v>41</v>
      </c>
      <c r="H13" s="6">
        <f>INDEX('8oferty s.'!B4:G29,MATCH(10,B4:B29,0),6)</f>
        <v>-15</v>
      </c>
    </row>
    <row r="14" spans="2:8" x14ac:dyDescent="0.2">
      <c r="B14" s="6">
        <f>RANK('8oferty s.'!C14,'8oferty s.'!$C$4:'8oferty s.'!$C$29,1)+COUNTIF('8oferty s.'!$C$4:'8oferty s.'!C14,'8oferty s.'!C14)-1</f>
        <v>17</v>
      </c>
      <c r="C14" s="5" t="str">
        <f>INDEX('8oferty s.'!B4:G29,MATCH(11,B4:B29,0),1)</f>
        <v>kolbuszowski</v>
      </c>
      <c r="D14" s="6">
        <f>INDEX('8oferty s.'!B4:G29,MATCH(11,B4:B29,0),2)</f>
        <v>28</v>
      </c>
      <c r="E14" s="37">
        <f>INDEX('8oferty s.'!B4:G29,MATCH(11,B4:B29,0),3)</f>
        <v>29</v>
      </c>
      <c r="F14" s="6">
        <f>INDEX('8oferty s.'!B4:G29,MATCH(11,B4:B29,0),4)</f>
        <v>-1</v>
      </c>
      <c r="G14" s="37">
        <f>INDEX('8oferty s.'!B4:G29,MATCH(11,B4:B29,0),5)</f>
        <v>29</v>
      </c>
      <c r="H14" s="6">
        <f>INDEX('8oferty s.'!B4:G29,MATCH(11,B4:B29,0),6)</f>
        <v>-1</v>
      </c>
    </row>
    <row r="15" spans="2:8" x14ac:dyDescent="0.2">
      <c r="B15" s="6">
        <f>RANK('8oferty s.'!C15,'8oferty s.'!$C$4:'8oferty s.'!$C$29,1)+COUNTIF('8oferty s.'!$C$4:'8oferty s.'!C15,'8oferty s.'!C15)-1</f>
        <v>23</v>
      </c>
      <c r="C15" s="5" t="str">
        <f>INDEX('8oferty s.'!B4:G29,MATCH(12,B4:B29,0),1)</f>
        <v>Przemyśl</v>
      </c>
      <c r="D15" s="6">
        <f>INDEX('8oferty s.'!B4:G29,MATCH(12,B4:B29,0),2)</f>
        <v>30</v>
      </c>
      <c r="E15" s="37">
        <f>INDEX('8oferty s.'!B4:G29,MATCH(12,B4:B29,0),3)</f>
        <v>12</v>
      </c>
      <c r="F15" s="6">
        <f>INDEX('8oferty s.'!B4:G29,MATCH(12,B4:B29,0),4)</f>
        <v>18</v>
      </c>
      <c r="G15" s="37">
        <f>INDEX('8oferty s.'!B4:G29,MATCH(12,B4:B29,0),5)</f>
        <v>25</v>
      </c>
      <c r="H15" s="6">
        <f>INDEX('8oferty s.'!B4:G29,MATCH(12,B4:B29,0),6)</f>
        <v>5</v>
      </c>
    </row>
    <row r="16" spans="2:8" x14ac:dyDescent="0.2">
      <c r="B16" s="6">
        <f>RANK('8oferty s.'!C16,'8oferty s.'!$C$4:'8oferty s.'!$C$29,1)+COUNTIF('8oferty s.'!$C$4:'8oferty s.'!C16,'8oferty s.'!C16)-1</f>
        <v>25</v>
      </c>
      <c r="C16" s="5" t="str">
        <f>INDEX('8oferty s.'!B4:G29,MATCH(13,B4:B29,0),1)</f>
        <v>przeworski</v>
      </c>
      <c r="D16" s="6">
        <f>INDEX('8oferty s.'!B4:G29,MATCH(13,B4:B29,0),2)</f>
        <v>33</v>
      </c>
      <c r="E16" s="37">
        <f>INDEX('8oferty s.'!B4:G29,MATCH(13,B4:B29,0),3)</f>
        <v>82</v>
      </c>
      <c r="F16" s="6">
        <f>INDEX('8oferty s.'!B4:G29,MATCH(13,B4:B29,0),4)</f>
        <v>-49</v>
      </c>
      <c r="G16" s="37">
        <f>INDEX('8oferty s.'!B4:G29,MATCH(13,B4:B29,0),5)</f>
        <v>119</v>
      </c>
      <c r="H16" s="6">
        <f>INDEX('8oferty s.'!B4:G29,MATCH(13,B4:B29,0),6)</f>
        <v>-86</v>
      </c>
    </row>
    <row r="17" spans="2:8" x14ac:dyDescent="0.2">
      <c r="B17" s="6">
        <f>RANK('8oferty s.'!C17,'8oferty s.'!$C$4:'8oferty s.'!$C$29,1)+COUNTIF('8oferty s.'!$C$4:'8oferty s.'!C17,'8oferty s.'!C17)-1</f>
        <v>9</v>
      </c>
      <c r="C17" s="5" t="str">
        <f>INDEX('8oferty s.'!B4:G29,MATCH(14,B4:B29,0),1)</f>
        <v>dębicki</v>
      </c>
      <c r="D17" s="6">
        <f>INDEX('8oferty s.'!B4:G29,MATCH(14,B4:B29,0),2)</f>
        <v>37</v>
      </c>
      <c r="E17" s="37">
        <f>INDEX('8oferty s.'!B4:G29,MATCH(14,B4:B29,0),3)</f>
        <v>21</v>
      </c>
      <c r="F17" s="6">
        <f>INDEX('8oferty s.'!B4:G29,MATCH(14,B4:B29,0),4)</f>
        <v>16</v>
      </c>
      <c r="G17" s="37">
        <f>INDEX('8oferty s.'!B4:G29,MATCH(14,B4:B29,0),5)</f>
        <v>42</v>
      </c>
      <c r="H17" s="6">
        <f>INDEX('8oferty s.'!B4:G29,MATCH(14,B4:B29,0),6)</f>
        <v>-5</v>
      </c>
    </row>
    <row r="18" spans="2:8" x14ac:dyDescent="0.2">
      <c r="B18" s="6">
        <f>RANK('8oferty s.'!C18,'8oferty s.'!$C$4:'8oferty s.'!$C$29,1)+COUNTIF('8oferty s.'!$C$4:'8oferty s.'!C18,'8oferty s.'!C18)-1</f>
        <v>13</v>
      </c>
      <c r="C18" s="5" t="str">
        <f>INDEX('8oferty s.'!B4:G29,MATCH(15,B4:B29,0),1)</f>
        <v>ropczycko-sędziszowski</v>
      </c>
      <c r="D18" s="6">
        <f>INDEX('8oferty s.'!B4:G29,MATCH(15,B4:B29,0),2)</f>
        <v>39</v>
      </c>
      <c r="E18" s="37">
        <f>INDEX('8oferty s.'!B4:G29,MATCH(15,B4:B29,0),3)</f>
        <v>60</v>
      </c>
      <c r="F18" s="6">
        <f>INDEX('8oferty s.'!B4:G29,MATCH(15,B4:B29,0),4)</f>
        <v>-21</v>
      </c>
      <c r="G18" s="37">
        <f>INDEX('8oferty s.'!B4:G29,MATCH(15,B4:B29,0),5)</f>
        <v>49</v>
      </c>
      <c r="H18" s="6">
        <f>INDEX('8oferty s.'!B4:G29,MATCH(15,B4:B29,0),6)</f>
        <v>-10</v>
      </c>
    </row>
    <row r="19" spans="2:8" x14ac:dyDescent="0.2">
      <c r="B19" s="6">
        <f>RANK('8oferty s.'!C19,'8oferty s.'!$C$4:'8oferty s.'!$C$29,1)+COUNTIF('8oferty s.'!$C$4:'8oferty s.'!C19,'8oferty s.'!C19)-1</f>
        <v>15</v>
      </c>
      <c r="C19" s="5" t="str">
        <f>INDEX('8oferty s.'!B4:G29,MATCH(16,B4:B29,0),1)</f>
        <v>leżajski</v>
      </c>
      <c r="D19" s="6">
        <f>INDEX('8oferty s.'!B4:G29,MATCH(16,B4:B29,0),2)</f>
        <v>41</v>
      </c>
      <c r="E19" s="37">
        <f>INDEX('8oferty s.'!B4:G29,MATCH(16,B4:B29,0),3)</f>
        <v>35</v>
      </c>
      <c r="F19" s="6">
        <f>INDEX('8oferty s.'!B4:G29,MATCH(16,B4:B29,0),4)</f>
        <v>6</v>
      </c>
      <c r="G19" s="37">
        <f>INDEX('8oferty s.'!B4:G29,MATCH(16,B4:B29,0),5)</f>
        <v>14</v>
      </c>
      <c r="H19" s="6">
        <f>INDEX('8oferty s.'!B4:G29,MATCH(16,B4:B29,0),6)</f>
        <v>27</v>
      </c>
    </row>
    <row r="20" spans="2:8" x14ac:dyDescent="0.2">
      <c r="B20" s="6">
        <f>RANK('8oferty s.'!C20,'8oferty s.'!$C$4:'8oferty s.'!$C$29,1)+COUNTIF('8oferty s.'!$C$4:'8oferty s.'!C20,'8oferty s.'!C20)-1</f>
        <v>7</v>
      </c>
      <c r="C20" s="5" t="str">
        <f>INDEX('8oferty s.'!B4:G29,MATCH(17,B4:B29,0),1)</f>
        <v>łańcucki</v>
      </c>
      <c r="D20" s="6">
        <f>INDEX('8oferty s.'!B4:G29,MATCH(17,B4:B29,0),2)</f>
        <v>41</v>
      </c>
      <c r="E20" s="37">
        <f>INDEX('8oferty s.'!B4:G29,MATCH(17,B4:B29,0),3)</f>
        <v>2</v>
      </c>
      <c r="F20" s="6">
        <f>INDEX('8oferty s.'!B4:G29,MATCH(17,B4:B29,0),4)</f>
        <v>39</v>
      </c>
      <c r="G20" s="37">
        <f>INDEX('8oferty s.'!B4:G29,MATCH(17,B4:B29,0),5)</f>
        <v>46</v>
      </c>
      <c r="H20" s="6">
        <f>INDEX('8oferty s.'!B4:G29,MATCH(17,B4:B29,0),6)</f>
        <v>-5</v>
      </c>
    </row>
    <row r="21" spans="2:8" x14ac:dyDescent="0.2">
      <c r="B21" s="6">
        <f>RANK('8oferty s.'!C21,'8oferty s.'!$C$4:'8oferty s.'!$C$29,1)+COUNTIF('8oferty s.'!$C$4:'8oferty s.'!C21,'8oferty s.'!C21)-1</f>
        <v>5</v>
      </c>
      <c r="C21" s="5" t="str">
        <f>INDEX('8oferty s.'!B4:G29,MATCH(18,B4:B29,0),1)</f>
        <v>lubaczowski</v>
      </c>
      <c r="D21" s="6">
        <f>INDEX('8oferty s.'!B4:G29,MATCH(18,B4:B29,0),2)</f>
        <v>42</v>
      </c>
      <c r="E21" s="37">
        <f>INDEX('8oferty s.'!B4:G29,MATCH(18,B4:B29,0),3)</f>
        <v>50</v>
      </c>
      <c r="F21" s="6">
        <f>INDEX('8oferty s.'!B4:G29,MATCH(18,B4:B29,0),4)</f>
        <v>-8</v>
      </c>
      <c r="G21" s="37">
        <f>INDEX('8oferty s.'!B4:G29,MATCH(18,B4:B29,0),5)</f>
        <v>76</v>
      </c>
      <c r="H21" s="6">
        <f>INDEX('8oferty s.'!B4:G29,MATCH(18,B4:B29,0),6)</f>
        <v>-34</v>
      </c>
    </row>
    <row r="22" spans="2:8" x14ac:dyDescent="0.2">
      <c r="B22" s="6">
        <f>RANK('8oferty s.'!C22,'8oferty s.'!$C$4:'8oferty s.'!$C$29,1)+COUNTIF('8oferty s.'!$C$4:'8oferty s.'!C22,'8oferty s.'!C22)-1</f>
        <v>24</v>
      </c>
      <c r="C22" s="5" t="str">
        <f>INDEX('8oferty s.'!B4:G29,MATCH(19,B4:B29,0),1)</f>
        <v>brzozowski</v>
      </c>
      <c r="D22" s="6">
        <f>INDEX('8oferty s.'!B4:G29,MATCH(19,B4:B29,0),2)</f>
        <v>47</v>
      </c>
      <c r="E22" s="37">
        <f>INDEX('8oferty s.'!B4:G29,MATCH(19,B4:B29,0),3)</f>
        <v>44</v>
      </c>
      <c r="F22" s="6">
        <f>INDEX('8oferty s.'!B4:G29,MATCH(19,B4:B29,0),4)</f>
        <v>3</v>
      </c>
      <c r="G22" s="37">
        <f>INDEX('8oferty s.'!B4:G29,MATCH(19,B4:B29,0),5)</f>
        <v>74</v>
      </c>
      <c r="H22" s="6">
        <f>INDEX('8oferty s.'!B4:G29,MATCH(19,B4:B29,0),6)</f>
        <v>-27</v>
      </c>
    </row>
    <row r="23" spans="2:8" x14ac:dyDescent="0.2">
      <c r="B23" s="6">
        <f>RANK('8oferty s.'!C23,'8oferty s.'!$C$4:'8oferty s.'!$C$29,1)+COUNTIF('8oferty s.'!$C$4:'8oferty s.'!C23,'8oferty s.'!C23)-1</f>
        <v>21</v>
      </c>
      <c r="C23" s="5" t="str">
        <f>INDEX('8oferty s.'!B4:G29,MATCH(20,B4:B29,0),1)</f>
        <v>jasielski</v>
      </c>
      <c r="D23" s="6">
        <f>INDEX('8oferty s.'!B4:G29,MATCH(20,B4:B29,0),2)</f>
        <v>47</v>
      </c>
      <c r="E23" s="37">
        <f>INDEX('8oferty s.'!B4:G29,MATCH(20,B4:B29,0),3)</f>
        <v>81</v>
      </c>
      <c r="F23" s="6">
        <f>INDEX('8oferty s.'!B4:G29,MATCH(20,B4:B29,0),4)</f>
        <v>-34</v>
      </c>
      <c r="G23" s="37">
        <f>INDEX('8oferty s.'!B4:G29,MATCH(20,B4:B29,0),5)</f>
        <v>78</v>
      </c>
      <c r="H23" s="6">
        <f>INDEX('8oferty s.'!B4:G29,MATCH(20,B4:B29,0),6)</f>
        <v>-31</v>
      </c>
    </row>
    <row r="24" spans="2:8" x14ac:dyDescent="0.2">
      <c r="B24" s="6">
        <f>RANK('8oferty s.'!C24,'8oferty s.'!$C$4:'8oferty s.'!$C$29,1)+COUNTIF('8oferty s.'!$C$4:'8oferty s.'!C24,'8oferty s.'!C24)-1</f>
        <v>1</v>
      </c>
      <c r="C24" s="5" t="str">
        <f>INDEX('8oferty s.'!B4:G29,MATCH(21,B4:B29,0),1)</f>
        <v>strzyżowski</v>
      </c>
      <c r="D24" s="6">
        <f>INDEX('8oferty s.'!B4:G29,MATCH(21,B4:B29,0),2)</f>
        <v>48</v>
      </c>
      <c r="E24" s="37">
        <f>INDEX('8oferty s.'!B4:G29,MATCH(21,B4:B29,0),3)</f>
        <v>68</v>
      </c>
      <c r="F24" s="6">
        <f>INDEX('8oferty s.'!B4:G29,MATCH(21,B4:B29,0),4)</f>
        <v>-20</v>
      </c>
      <c r="G24" s="37">
        <f>INDEX('8oferty s.'!B4:G29,MATCH(21,B4:B29,0),5)</f>
        <v>38</v>
      </c>
      <c r="H24" s="6">
        <f>INDEX('8oferty s.'!B4:G29,MATCH(21,B4:B29,0),6)</f>
        <v>10</v>
      </c>
    </row>
    <row r="25" spans="2:8" x14ac:dyDescent="0.2">
      <c r="B25" s="6">
        <f>RANK('8oferty s.'!C25,'8oferty s.'!$C$4:'8oferty s.'!$C$29,1)+COUNTIF('8oferty s.'!$C$4:'8oferty s.'!C25,'8oferty s.'!C25)-1</f>
        <v>3</v>
      </c>
      <c r="C25" s="5" t="str">
        <f>INDEX('8oferty s.'!B4:G29,MATCH(22,B4:B29,0),1)</f>
        <v>Rzeszów</v>
      </c>
      <c r="D25" s="6">
        <f>INDEX('8oferty s.'!B4:G29,MATCH(22,B4:B29,0),2)</f>
        <v>50</v>
      </c>
      <c r="E25" s="37">
        <f>INDEX('8oferty s.'!B4:G29,MATCH(22,B4:B29,0),3)</f>
        <v>66</v>
      </c>
      <c r="F25" s="6">
        <f>INDEX('8oferty s.'!B4:G29,MATCH(22,B4:B29,0),4)</f>
        <v>-16</v>
      </c>
      <c r="G25" s="37">
        <f>INDEX('8oferty s.'!B4:G29,MATCH(22,B4:B29,0),5)</f>
        <v>70</v>
      </c>
      <c r="H25" s="6">
        <f>INDEX('8oferty s.'!B4:G29,MATCH(22,B4:B29,0),6)</f>
        <v>-20</v>
      </c>
    </row>
    <row r="26" spans="2:8" x14ac:dyDescent="0.2">
      <c r="B26" s="6">
        <f>RANK('8oferty s.'!C26,'8oferty s.'!$C$4:'8oferty s.'!$C$29,1)+COUNTIF('8oferty s.'!$C$4:'8oferty s.'!C26,'8oferty s.'!C26)-1</f>
        <v>12</v>
      </c>
      <c r="C26" s="5" t="str">
        <f>INDEX('8oferty s.'!B4:G29,MATCH(23,B4:B29,0),1)</f>
        <v>mielecki</v>
      </c>
      <c r="D26" s="6">
        <f>INDEX('8oferty s.'!B4:G29,MATCH(23,B4:B29,0),2)</f>
        <v>58</v>
      </c>
      <c r="E26" s="37">
        <f>INDEX('8oferty s.'!B4:G29,MATCH(23,B4:B29,0),3)</f>
        <v>96</v>
      </c>
      <c r="F26" s="6">
        <f>INDEX('8oferty s.'!B4:G29,MATCH(23,B4:B29,0),4)</f>
        <v>-38</v>
      </c>
      <c r="G26" s="37">
        <f>INDEX('8oferty s.'!B4:G29,MATCH(23,B4:B29,0),5)</f>
        <v>78</v>
      </c>
      <c r="H26" s="6">
        <f>INDEX('8oferty s.'!B4:G29,MATCH(23,B4:B29,0),6)</f>
        <v>-20</v>
      </c>
    </row>
    <row r="27" spans="2:8" x14ac:dyDescent="0.2">
      <c r="B27" s="6">
        <f>RANK('8oferty s.'!C27,'8oferty s.'!$C$4:'8oferty s.'!$C$29,1)+COUNTIF('8oferty s.'!$C$4:'8oferty s.'!C27,'8oferty s.'!C27)-1</f>
        <v>22</v>
      </c>
      <c r="C27" s="5" t="str">
        <f>INDEX('8oferty s.'!B4:G29,MATCH(24,B4:B29,0),1)</f>
        <v>stalowowolski</v>
      </c>
      <c r="D27" s="6">
        <f>INDEX('8oferty s.'!B4:G29,MATCH(24,B4:B29,0),2)</f>
        <v>62</v>
      </c>
      <c r="E27" s="37">
        <f>INDEX('8oferty s.'!B4:G29,MATCH(24,B4:B29,0),3)</f>
        <v>47</v>
      </c>
      <c r="F27" s="6">
        <f>INDEX('8oferty s.'!B4:G29,MATCH(24,B4:B29,0),4)</f>
        <v>15</v>
      </c>
      <c r="G27" s="37">
        <f>INDEX('8oferty s.'!B4:G29,MATCH(24,B4:B29,0),5)</f>
        <v>42</v>
      </c>
      <c r="H27" s="6">
        <f>INDEX('8oferty s.'!B4:G29,MATCH(24,B4:B29,0),6)</f>
        <v>20</v>
      </c>
    </row>
    <row r="28" spans="2:8" x14ac:dyDescent="0.2">
      <c r="B28" s="6">
        <f>RANK('8oferty s.'!C28,'8oferty s.'!$C$4:'8oferty s.'!$C$29,1)+COUNTIF('8oferty s.'!$C$4:'8oferty s.'!C28,'8oferty s.'!C28)-1</f>
        <v>4</v>
      </c>
      <c r="C28" s="5" t="str">
        <f>INDEX('8oferty s.'!B4:G29,MATCH(25,B4:B29,0),1)</f>
        <v>niżański</v>
      </c>
      <c r="D28" s="6">
        <f>INDEX('8oferty s.'!B4:G29,MATCH(25,B4:B29,0),2)</f>
        <v>63</v>
      </c>
      <c r="E28" s="37">
        <f>INDEX('8oferty s.'!B4:G29,MATCH(25,B4:B29,0),3)</f>
        <v>49</v>
      </c>
      <c r="F28" s="6">
        <f>INDEX('8oferty s.'!B4:G29,MATCH(25,B4:B29,0),4)</f>
        <v>14</v>
      </c>
      <c r="G28" s="37">
        <f>INDEX('8oferty s.'!B4:G29,MATCH(25,B4:B29,0),5)</f>
        <v>37</v>
      </c>
      <c r="H28" s="6">
        <f>INDEX('8oferty s.'!B4:G29,MATCH(25,B4:B29,0),6)</f>
        <v>26</v>
      </c>
    </row>
    <row r="29" spans="2:8" ht="15" x14ac:dyDescent="0.25">
      <c r="B29" s="35">
        <f>RANK('8oferty s.'!C29,'8oferty s.'!$C$4:'8oferty s.'!$C$29,1)+COUNTIF('8oferty s.'!$C$4:'8oferty s.'!C29,'8oferty s.'!C29)-1</f>
        <v>26</v>
      </c>
      <c r="C29" s="34" t="str">
        <f>INDEX('8oferty s.'!B4:G29,MATCH(26,B4:B29,0),1)</f>
        <v>województwo</v>
      </c>
      <c r="D29" s="35">
        <f>INDEX('8oferty s.'!B4:G29,MATCH(26,B4:B29,0),2)</f>
        <v>818</v>
      </c>
      <c r="E29" s="39">
        <f>INDEX('8oferty s.'!B4:G29,MATCH(26,B4:B29,0),3)</f>
        <v>1127</v>
      </c>
      <c r="F29" s="35">
        <f>INDEX('8oferty s.'!B4:G29,MATCH(26,B4:B29,0),4)</f>
        <v>-309</v>
      </c>
      <c r="G29" s="39">
        <f>INDEX('8oferty s.'!B4:G29,MATCH(26,B4:B29,0),5)</f>
        <v>1047</v>
      </c>
      <c r="H29" s="35">
        <f>INDEX('8oferty s.'!B4:G29,MATCH(26,B4:B29,0),6)</f>
        <v>-229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27" t="s">
        <v>54</v>
      </c>
      <c r="C1" s="25"/>
      <c r="D1" s="25"/>
      <c r="E1" s="25"/>
      <c r="F1" s="25"/>
      <c r="G1" s="25"/>
      <c r="H1" s="26"/>
      <c r="I1" s="26"/>
      <c r="J1" s="26"/>
      <c r="K1" s="26"/>
    </row>
    <row r="2" spans="2:11" ht="14.25" customHeight="1" x14ac:dyDescent="0.2">
      <c r="B2" s="1" t="s">
        <v>55</v>
      </c>
      <c r="C2" s="20"/>
      <c r="D2" s="20"/>
      <c r="E2" s="20"/>
      <c r="F2" s="20"/>
      <c r="G2" s="20"/>
      <c r="H2" s="26"/>
      <c r="I2" s="26"/>
      <c r="J2" s="26"/>
      <c r="K2" s="26"/>
    </row>
    <row r="3" spans="2:11" ht="57" x14ac:dyDescent="0.2">
      <c r="B3" s="31" t="s">
        <v>27</v>
      </c>
      <c r="C3" s="32" t="s">
        <v>104</v>
      </c>
      <c r="D3" s="33" t="s">
        <v>76</v>
      </c>
      <c r="E3" s="32" t="s">
        <v>28</v>
      </c>
      <c r="F3" s="33" t="s">
        <v>105</v>
      </c>
      <c r="G3" s="32" t="s">
        <v>26</v>
      </c>
    </row>
    <row r="4" spans="2:11" x14ac:dyDescent="0.2">
      <c r="B4" s="5" t="s">
        <v>0</v>
      </c>
      <c r="C4" s="23">
        <v>7</v>
      </c>
      <c r="D4" s="37">
        <v>12</v>
      </c>
      <c r="E4" s="23">
        <f t="shared" ref="E4:E28" si="0">SUM(C4)-D4</f>
        <v>-5</v>
      </c>
      <c r="F4" s="37">
        <v>17</v>
      </c>
      <c r="G4" s="23">
        <f t="shared" ref="G4:G28" si="1">SUM(C4)-F4</f>
        <v>-10</v>
      </c>
      <c r="H4" s="7"/>
    </row>
    <row r="5" spans="2:11" x14ac:dyDescent="0.2">
      <c r="B5" s="5" t="s">
        <v>1</v>
      </c>
      <c r="C5" s="23">
        <v>8</v>
      </c>
      <c r="D5" s="37">
        <v>6</v>
      </c>
      <c r="E5" s="23">
        <f t="shared" si="0"/>
        <v>2</v>
      </c>
      <c r="F5" s="37">
        <v>2</v>
      </c>
      <c r="G5" s="23">
        <f t="shared" si="1"/>
        <v>6</v>
      </c>
      <c r="H5" s="7"/>
    </row>
    <row r="6" spans="2:11" x14ac:dyDescent="0.2">
      <c r="B6" s="5" t="s">
        <v>2</v>
      </c>
      <c r="C6" s="23">
        <v>118</v>
      </c>
      <c r="D6" s="37">
        <v>168</v>
      </c>
      <c r="E6" s="23">
        <f t="shared" si="0"/>
        <v>-50</v>
      </c>
      <c r="F6" s="37">
        <v>166</v>
      </c>
      <c r="G6" s="23">
        <f t="shared" si="1"/>
        <v>-48</v>
      </c>
      <c r="H6" s="7"/>
    </row>
    <row r="7" spans="2:11" x14ac:dyDescent="0.2">
      <c r="B7" s="5" t="s">
        <v>3</v>
      </c>
      <c r="C7" s="23">
        <v>39</v>
      </c>
      <c r="D7" s="37">
        <v>74</v>
      </c>
      <c r="E7" s="23">
        <f t="shared" si="0"/>
        <v>-35</v>
      </c>
      <c r="F7" s="37">
        <v>19</v>
      </c>
      <c r="G7" s="23">
        <f t="shared" si="1"/>
        <v>20</v>
      </c>
      <c r="H7" s="7"/>
    </row>
    <row r="8" spans="2:11" x14ac:dyDescent="0.2">
      <c r="B8" s="5" t="s">
        <v>4</v>
      </c>
      <c r="C8" s="23">
        <v>81</v>
      </c>
      <c r="D8" s="37">
        <v>109</v>
      </c>
      <c r="E8" s="23">
        <f t="shared" si="0"/>
        <v>-28</v>
      </c>
      <c r="F8" s="37">
        <v>116</v>
      </c>
      <c r="G8" s="23">
        <f t="shared" si="1"/>
        <v>-35</v>
      </c>
      <c r="H8" s="7"/>
    </row>
    <row r="9" spans="2:11" x14ac:dyDescent="0.2">
      <c r="B9" s="5" t="s">
        <v>5</v>
      </c>
      <c r="C9" s="23">
        <v>63</v>
      </c>
      <c r="D9" s="37">
        <v>46</v>
      </c>
      <c r="E9" s="23">
        <f t="shared" si="0"/>
        <v>17</v>
      </c>
      <c r="F9" s="37">
        <v>31</v>
      </c>
      <c r="G9" s="23">
        <f t="shared" si="1"/>
        <v>32</v>
      </c>
      <c r="H9" s="7"/>
    </row>
    <row r="10" spans="2:11" x14ac:dyDescent="0.2">
      <c r="B10" s="9" t="s">
        <v>6</v>
      </c>
      <c r="C10" s="23">
        <v>20</v>
      </c>
      <c r="D10" s="37">
        <v>45</v>
      </c>
      <c r="E10" s="23">
        <f t="shared" si="0"/>
        <v>-25</v>
      </c>
      <c r="F10" s="37">
        <v>21</v>
      </c>
      <c r="G10" s="23">
        <f t="shared" si="1"/>
        <v>-1</v>
      </c>
      <c r="H10" s="7"/>
    </row>
    <row r="11" spans="2:11" x14ac:dyDescent="0.2">
      <c r="B11" s="5" t="s">
        <v>7</v>
      </c>
      <c r="C11" s="23">
        <v>6</v>
      </c>
      <c r="D11" s="37">
        <v>15</v>
      </c>
      <c r="E11" s="23">
        <f t="shared" si="0"/>
        <v>-9</v>
      </c>
      <c r="F11" s="37">
        <v>54</v>
      </c>
      <c r="G11" s="23">
        <f t="shared" si="1"/>
        <v>-48</v>
      </c>
      <c r="H11" s="7"/>
    </row>
    <row r="12" spans="2:11" x14ac:dyDescent="0.2">
      <c r="B12" s="5" t="s">
        <v>8</v>
      </c>
      <c r="C12" s="23">
        <v>34</v>
      </c>
      <c r="D12" s="37">
        <v>22</v>
      </c>
      <c r="E12" s="23">
        <f t="shared" si="0"/>
        <v>12</v>
      </c>
      <c r="F12" s="37">
        <v>25</v>
      </c>
      <c r="G12" s="23">
        <f t="shared" si="1"/>
        <v>9</v>
      </c>
      <c r="H12" s="7"/>
    </row>
    <row r="13" spans="2:11" x14ac:dyDescent="0.2">
      <c r="B13" s="5" t="s">
        <v>9</v>
      </c>
      <c r="C13" s="23">
        <v>40</v>
      </c>
      <c r="D13" s="37">
        <v>38</v>
      </c>
      <c r="E13" s="23">
        <f t="shared" si="0"/>
        <v>2</v>
      </c>
      <c r="F13" s="37">
        <v>50</v>
      </c>
      <c r="G13" s="23">
        <f t="shared" si="1"/>
        <v>-10</v>
      </c>
      <c r="H13" s="7"/>
    </row>
    <row r="14" spans="2:11" x14ac:dyDescent="0.2">
      <c r="B14" s="5" t="s">
        <v>10</v>
      </c>
      <c r="C14" s="23">
        <v>49</v>
      </c>
      <c r="D14" s="37">
        <v>58</v>
      </c>
      <c r="E14" s="23">
        <f t="shared" si="0"/>
        <v>-9</v>
      </c>
      <c r="F14" s="37">
        <v>22</v>
      </c>
      <c r="G14" s="23">
        <f t="shared" si="1"/>
        <v>27</v>
      </c>
      <c r="H14" s="7"/>
    </row>
    <row r="15" spans="2:11" x14ac:dyDescent="0.2">
      <c r="B15" s="5" t="s">
        <v>11</v>
      </c>
      <c r="C15" s="23">
        <v>265</v>
      </c>
      <c r="D15" s="37">
        <v>238</v>
      </c>
      <c r="E15" s="23">
        <f t="shared" si="0"/>
        <v>27</v>
      </c>
      <c r="F15" s="37">
        <v>262</v>
      </c>
      <c r="G15" s="23">
        <f t="shared" si="1"/>
        <v>3</v>
      </c>
      <c r="H15" s="7"/>
    </row>
    <row r="16" spans="2:11" x14ac:dyDescent="0.2">
      <c r="B16" s="5" t="s">
        <v>12</v>
      </c>
      <c r="C16" s="23">
        <v>101</v>
      </c>
      <c r="D16" s="37">
        <v>49</v>
      </c>
      <c r="E16" s="23">
        <f t="shared" si="0"/>
        <v>52</v>
      </c>
      <c r="F16" s="37">
        <v>75</v>
      </c>
      <c r="G16" s="23">
        <f t="shared" si="1"/>
        <v>26</v>
      </c>
      <c r="H16" s="7"/>
    </row>
    <row r="17" spans="2:8" x14ac:dyDescent="0.2">
      <c r="B17" s="5" t="s">
        <v>13</v>
      </c>
      <c r="C17" s="23">
        <v>11</v>
      </c>
      <c r="D17" s="37">
        <v>7</v>
      </c>
      <c r="E17" s="23">
        <f t="shared" si="0"/>
        <v>4</v>
      </c>
      <c r="F17" s="37">
        <v>6</v>
      </c>
      <c r="G17" s="23">
        <f t="shared" si="1"/>
        <v>5</v>
      </c>
      <c r="H17" s="7"/>
    </row>
    <row r="18" spans="2:8" x14ac:dyDescent="0.2">
      <c r="B18" s="5" t="s">
        <v>14</v>
      </c>
      <c r="C18" s="23">
        <v>72</v>
      </c>
      <c r="D18" s="37">
        <v>85</v>
      </c>
      <c r="E18" s="23">
        <f t="shared" si="0"/>
        <v>-13</v>
      </c>
      <c r="F18" s="37">
        <v>172</v>
      </c>
      <c r="G18" s="23">
        <f t="shared" si="1"/>
        <v>-100</v>
      </c>
      <c r="H18" s="7"/>
    </row>
    <row r="19" spans="2:8" x14ac:dyDescent="0.2">
      <c r="B19" s="5" t="s">
        <v>15</v>
      </c>
      <c r="C19" s="23">
        <v>59</v>
      </c>
      <c r="D19" s="37">
        <v>55</v>
      </c>
      <c r="E19" s="23">
        <f t="shared" si="0"/>
        <v>4</v>
      </c>
      <c r="F19" s="37">
        <v>54</v>
      </c>
      <c r="G19" s="23">
        <f t="shared" si="1"/>
        <v>5</v>
      </c>
      <c r="H19" s="7"/>
    </row>
    <row r="20" spans="2:8" x14ac:dyDescent="0.2">
      <c r="B20" s="5" t="s">
        <v>16</v>
      </c>
      <c r="C20" s="23">
        <v>76</v>
      </c>
      <c r="D20" s="37">
        <v>101</v>
      </c>
      <c r="E20" s="23">
        <f t="shared" si="0"/>
        <v>-25</v>
      </c>
      <c r="F20" s="37">
        <v>80</v>
      </c>
      <c r="G20" s="23">
        <f t="shared" si="1"/>
        <v>-4</v>
      </c>
      <c r="H20" s="7"/>
    </row>
    <row r="21" spans="2:8" x14ac:dyDescent="0.2">
      <c r="B21" s="5" t="s">
        <v>17</v>
      </c>
      <c r="C21" s="23">
        <v>35</v>
      </c>
      <c r="D21" s="37">
        <v>18</v>
      </c>
      <c r="E21" s="23">
        <f t="shared" si="0"/>
        <v>17</v>
      </c>
      <c r="F21" s="37">
        <v>18</v>
      </c>
      <c r="G21" s="23">
        <f t="shared" si="1"/>
        <v>17</v>
      </c>
      <c r="H21" s="7"/>
    </row>
    <row r="22" spans="2:8" x14ac:dyDescent="0.2">
      <c r="B22" s="5" t="s">
        <v>18</v>
      </c>
      <c r="C22" s="23">
        <v>104</v>
      </c>
      <c r="D22" s="37">
        <v>106</v>
      </c>
      <c r="E22" s="23">
        <f t="shared" si="0"/>
        <v>-2</v>
      </c>
      <c r="F22" s="37">
        <v>47</v>
      </c>
      <c r="G22" s="23">
        <f t="shared" si="1"/>
        <v>57</v>
      </c>
      <c r="H22" s="7"/>
    </row>
    <row r="23" spans="2:8" x14ac:dyDescent="0.2">
      <c r="B23" s="5" t="s">
        <v>19</v>
      </c>
      <c r="C23" s="23">
        <v>14</v>
      </c>
      <c r="D23" s="37">
        <v>47</v>
      </c>
      <c r="E23" s="23">
        <f t="shared" si="0"/>
        <v>-33</v>
      </c>
      <c r="F23" s="37">
        <v>47</v>
      </c>
      <c r="G23" s="23">
        <f t="shared" si="1"/>
        <v>-33</v>
      </c>
      <c r="H23" s="7"/>
    </row>
    <row r="24" spans="2:8" x14ac:dyDescent="0.2">
      <c r="B24" s="5" t="s">
        <v>20</v>
      </c>
      <c r="C24" s="23">
        <v>128</v>
      </c>
      <c r="D24" s="37">
        <v>38</v>
      </c>
      <c r="E24" s="23">
        <f t="shared" si="0"/>
        <v>90</v>
      </c>
      <c r="F24" s="37">
        <v>21</v>
      </c>
      <c r="G24" s="23">
        <f t="shared" si="1"/>
        <v>107</v>
      </c>
      <c r="H24" s="7"/>
    </row>
    <row r="25" spans="2:8" x14ac:dyDescent="0.2">
      <c r="B25" s="5" t="s">
        <v>21</v>
      </c>
      <c r="C25" s="23">
        <v>73</v>
      </c>
      <c r="D25" s="37">
        <v>127</v>
      </c>
      <c r="E25" s="23">
        <f t="shared" si="0"/>
        <v>-54</v>
      </c>
      <c r="F25" s="37">
        <v>14</v>
      </c>
      <c r="G25" s="23">
        <f t="shared" si="1"/>
        <v>59</v>
      </c>
      <c r="H25" s="7"/>
    </row>
    <row r="26" spans="2:8" x14ac:dyDescent="0.2">
      <c r="B26" s="5" t="s">
        <v>22</v>
      </c>
      <c r="C26" s="23">
        <v>54</v>
      </c>
      <c r="D26" s="37">
        <v>33</v>
      </c>
      <c r="E26" s="23">
        <f t="shared" si="0"/>
        <v>21</v>
      </c>
      <c r="F26" s="37">
        <v>49</v>
      </c>
      <c r="G26" s="23">
        <f t="shared" si="1"/>
        <v>5</v>
      </c>
      <c r="H26" s="7"/>
    </row>
    <row r="27" spans="2:8" x14ac:dyDescent="0.2">
      <c r="B27" s="5" t="s">
        <v>23</v>
      </c>
      <c r="C27" s="23">
        <v>203</v>
      </c>
      <c r="D27" s="37">
        <v>275</v>
      </c>
      <c r="E27" s="23">
        <f t="shared" si="0"/>
        <v>-72</v>
      </c>
      <c r="F27" s="37">
        <v>232</v>
      </c>
      <c r="G27" s="23">
        <f t="shared" si="1"/>
        <v>-29</v>
      </c>
      <c r="H27" s="7"/>
    </row>
    <row r="28" spans="2:8" x14ac:dyDescent="0.2">
      <c r="B28" s="5" t="s">
        <v>24</v>
      </c>
      <c r="C28" s="23">
        <v>46</v>
      </c>
      <c r="D28" s="37">
        <v>49</v>
      </c>
      <c r="E28" s="23">
        <f t="shared" si="0"/>
        <v>-3</v>
      </c>
      <c r="F28" s="37">
        <v>27</v>
      </c>
      <c r="G28" s="23">
        <f t="shared" si="1"/>
        <v>19</v>
      </c>
      <c r="H28" s="7"/>
    </row>
    <row r="29" spans="2:8" ht="15" x14ac:dyDescent="0.25">
      <c r="B29" s="34" t="s">
        <v>25</v>
      </c>
      <c r="C29" s="43">
        <f>SUM(C4:C28)</f>
        <v>1706</v>
      </c>
      <c r="D29" s="39">
        <f>SUM(D4:D28)</f>
        <v>1821</v>
      </c>
      <c r="E29" s="43">
        <f>SUM(E4:E28)</f>
        <v>-115</v>
      </c>
      <c r="F29" s="39">
        <f>SUM(F4:F28)</f>
        <v>1627</v>
      </c>
      <c r="G29" s="43">
        <f>SUM(G4:G28)</f>
        <v>79</v>
      </c>
      <c r="H29" s="7"/>
    </row>
    <row r="30" spans="2:8" ht="12" customHeight="1" x14ac:dyDescent="0.2">
      <c r="B30" s="4"/>
      <c r="C30" s="14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53</v>
      </c>
      <c r="C1" s="28"/>
      <c r="D1" s="28"/>
      <c r="E1" s="28"/>
      <c r="F1" s="28"/>
      <c r="G1" s="28"/>
      <c r="H1" s="28"/>
    </row>
    <row r="2" spans="2:8" ht="15" x14ac:dyDescent="0.2">
      <c r="C2" s="15"/>
      <c r="D2" s="16"/>
    </row>
    <row r="3" spans="2:8" ht="42.75" x14ac:dyDescent="0.2">
      <c r="B3" s="38" t="s">
        <v>39</v>
      </c>
      <c r="C3" s="31" t="str">
        <f>T('8oferty s.'!B3)</f>
        <v>powiaty</v>
      </c>
      <c r="D3" s="31" t="str">
        <f>T('9of st. k.'!C3)</f>
        <v>liczba ofert 31-05-'26 r.</v>
      </c>
      <c r="E3" s="31" t="str">
        <f>T('9of st. k.'!D3)</f>
        <v>liczba ofert 30-04-'26 r.</v>
      </c>
      <c r="F3" s="31" t="str">
        <f>T('9of st. k.'!E3)</f>
        <v>wzrost/spadek do poprzedniego  miesiąca</v>
      </c>
      <c r="G3" s="31" t="str">
        <f>T('9of st. k.'!F3)</f>
        <v>liczba ofert 31-05-'25 r.</v>
      </c>
      <c r="H3" s="31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2</v>
      </c>
      <c r="C4" s="5" t="str">
        <f>INDEX('9of st. k.'!B4:G29,MATCH(1,B4:B29,0),1)</f>
        <v>leski</v>
      </c>
      <c r="D4" s="19">
        <f>INDEX('9of st. k.'!B4:G29,MATCH(1,B4:B29,0),2)</f>
        <v>6</v>
      </c>
      <c r="E4" s="37">
        <f>INDEX('9of st. k.'!B4:G29,MATCH(1,B4:B29,0),3)</f>
        <v>15</v>
      </c>
      <c r="F4" s="6">
        <f>INDEX('9of st. k.'!B4:G29,MATCH(1,B4:B29,0),4)</f>
        <v>-9</v>
      </c>
      <c r="G4" s="37">
        <f>INDEX('9of st. k.'!B4:G29,MATCH(1,B4:B29,0),5)</f>
        <v>54</v>
      </c>
      <c r="H4" s="6">
        <f>INDEX('9of st. k.'!B4:G29,MATCH(1,B4:B29,0),6)</f>
        <v>-48</v>
      </c>
    </row>
    <row r="5" spans="2:8" x14ac:dyDescent="0.2">
      <c r="B5" s="6">
        <f>RANK('9of st. k.'!C5,'9of st. k.'!$C$4:'9of st. k.'!$C$29,1)+COUNTIF('9of st. k.'!$C$4:'9of st. k.'!C5,'9of st. k.'!C5)-1</f>
        <v>3</v>
      </c>
      <c r="C5" s="5" t="str">
        <f>INDEX('9of st. k.'!B4:G29,MATCH(2,B4:B29,0),1)</f>
        <v>bieszczadzki</v>
      </c>
      <c r="D5" s="6">
        <f>INDEX('9of st. k.'!B4:G29,MATCH(2,B4:B29,0),2)</f>
        <v>7</v>
      </c>
      <c r="E5" s="37">
        <f>INDEX('9of st. k.'!B4:G29,MATCH(2,B4:B29,0),3)</f>
        <v>12</v>
      </c>
      <c r="F5" s="6">
        <f>INDEX('9of st. k.'!B4:G29,MATCH(2,B4:B29,0),4)</f>
        <v>-5</v>
      </c>
      <c r="G5" s="37">
        <f>INDEX('9of st. k.'!B4:G29,MATCH(2,B4:B29,0),5)</f>
        <v>17</v>
      </c>
      <c r="H5" s="6">
        <f>INDEX('9of st. k.'!B4:G29,MATCH(2,B4:B29,0),6)</f>
        <v>-10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brzozowski</v>
      </c>
      <c r="D6" s="6">
        <f>INDEX('9of st. k.'!B4:G29,MATCH(3,B4:B29,0),2)</f>
        <v>8</v>
      </c>
      <c r="E6" s="37">
        <f>INDEX('9of st. k.'!B4:G29,MATCH(3,B4:B29,0),3)</f>
        <v>6</v>
      </c>
      <c r="F6" s="6">
        <f>INDEX('9of st. k.'!B4:G29,MATCH(3,B4:B29,0),4)</f>
        <v>2</v>
      </c>
      <c r="G6" s="37">
        <f>INDEX('9of st. k.'!B4:G29,MATCH(3,B4:B29,0),5)</f>
        <v>2</v>
      </c>
      <c r="H6" s="6">
        <f>INDEX('9of st. k.'!B4:G29,MATCH(3,B4:B29,0),6)</f>
        <v>6</v>
      </c>
    </row>
    <row r="7" spans="2:8" x14ac:dyDescent="0.2">
      <c r="B7" s="6">
        <f>RANK('9of st. k.'!C7,'9of st. k.'!$C$4:'9of st. k.'!$C$29,1)+COUNTIF('9of st. k.'!$C$4:'9of st. k.'!C7,'9of st. k.'!C7)-1</f>
        <v>9</v>
      </c>
      <c r="C7" s="5" t="str">
        <f>INDEX('9of st. k.'!B4:G29,MATCH(4,B4:B29,0),1)</f>
        <v>przemyski</v>
      </c>
      <c r="D7" s="6">
        <f>INDEX('9of st. k.'!B4:G29,MATCH(4,B4:B29,0),2)</f>
        <v>11</v>
      </c>
      <c r="E7" s="37">
        <f>INDEX('9of st. k.'!B4:G29,MATCH(4,B4:B29,0),3)</f>
        <v>7</v>
      </c>
      <c r="F7" s="6">
        <f>INDEX('9of st. k.'!B4:G29,MATCH(4,B4:B29,0),4)</f>
        <v>4</v>
      </c>
      <c r="G7" s="37">
        <f>INDEX('9of st. k.'!B4:G29,MATCH(4,B4:B29,0),5)</f>
        <v>6</v>
      </c>
      <c r="H7" s="6">
        <f>INDEX('9of st. k.'!B4:G29,MATCH(4,B4:B29,0),6)</f>
        <v>5</v>
      </c>
    </row>
    <row r="8" spans="2:8" x14ac:dyDescent="0.2">
      <c r="B8" s="6">
        <f>RANK('9of st. k.'!C8,'9of st. k.'!$C$4:'9of st. k.'!$C$29,1)+COUNTIF('9of st. k.'!$C$4:'9of st. k.'!C8,'9of st. k.'!C8)-1</f>
        <v>19</v>
      </c>
      <c r="C8" s="5" t="str">
        <f>INDEX('9of st. k.'!B4:G29,MATCH(5,B4:B29,0),1)</f>
        <v>strzyżowski</v>
      </c>
      <c r="D8" s="6">
        <f>INDEX('9of st. k.'!B4:G29,MATCH(5,B4:B29,0),2)</f>
        <v>14</v>
      </c>
      <c r="E8" s="37">
        <f>INDEX('9of st. k.'!B4:G29,MATCH(5,B4:B29,0),3)</f>
        <v>47</v>
      </c>
      <c r="F8" s="6">
        <f>INDEX('9of st. k.'!B4:G29,MATCH(5,B4:B29,0),4)</f>
        <v>-33</v>
      </c>
      <c r="G8" s="37">
        <f>INDEX('9of st. k.'!B4:G29,MATCH(5,B4:B29,0),5)</f>
        <v>47</v>
      </c>
      <c r="H8" s="6">
        <f>INDEX('9of st. k.'!B4:G29,MATCH(5,B4:B29,0),6)</f>
        <v>-33</v>
      </c>
    </row>
    <row r="9" spans="2:8" x14ac:dyDescent="0.2">
      <c r="B9" s="6">
        <f>RANK('9of st. k.'!C9,'9of st. k.'!$C$4:'9of st. k.'!$C$29,1)+COUNTIF('9of st. k.'!$C$4:'9of st. k.'!C9,'9of st. k.'!C9)-1</f>
        <v>15</v>
      </c>
      <c r="C9" s="5" t="str">
        <f>INDEX('9of st. k.'!B4:G29,MATCH(6,B4:B29,0),1)</f>
        <v>krośnieński</v>
      </c>
      <c r="D9" s="6">
        <f>INDEX('9of st. k.'!B4:G29,MATCH(6,B4:B29,0),2)</f>
        <v>20</v>
      </c>
      <c r="E9" s="37">
        <f>INDEX('9of st. k.'!B4:G29,MATCH(6,B4:B29,0),3)</f>
        <v>45</v>
      </c>
      <c r="F9" s="6">
        <f>INDEX('9of st. k.'!B4:G29,MATCH(6,B4:B29,0),4)</f>
        <v>-25</v>
      </c>
      <c r="G9" s="37">
        <f>INDEX('9of st. k.'!B4:G29,MATCH(6,B4:B29,0),5)</f>
        <v>21</v>
      </c>
      <c r="H9" s="6">
        <f>INDEX('9of st. k.'!B4:G29,MATCH(6,B4:B29,0),6)</f>
        <v>-1</v>
      </c>
    </row>
    <row r="10" spans="2:8" x14ac:dyDescent="0.2">
      <c r="B10" s="6">
        <f>RANK('9of st. k.'!C10,'9of st. k.'!$C$4:'9of st. k.'!$C$29,1)+COUNTIF('9of st. k.'!$C$4:'9of st. k.'!C10,'9of st. k.'!C10)-1</f>
        <v>6</v>
      </c>
      <c r="C10" s="9" t="str">
        <f>INDEX('9of st. k.'!B4:G29,MATCH(7,B4:B29,0),1)</f>
        <v>leżajski</v>
      </c>
      <c r="D10" s="6">
        <f>INDEX('9of st. k.'!B4:G29,MATCH(7,B4:B29,0),2)</f>
        <v>34</v>
      </c>
      <c r="E10" s="37">
        <f>INDEX('9of st. k.'!B4:G29,MATCH(7,B4:B29,0),3)</f>
        <v>22</v>
      </c>
      <c r="F10" s="6">
        <f>INDEX('9of st. k.'!B4:G29,MATCH(7,B4:B29,0),4)</f>
        <v>12</v>
      </c>
      <c r="G10" s="37">
        <f>INDEX('9of st. k.'!B4:G29,MATCH(7,B4:B29,0),5)</f>
        <v>25</v>
      </c>
      <c r="H10" s="6">
        <f>INDEX('9of st. k.'!B4:G29,MATCH(7,B4:B29,0),6)</f>
        <v>9</v>
      </c>
    </row>
    <row r="11" spans="2:8" x14ac:dyDescent="0.2">
      <c r="B11" s="6">
        <f>RANK('9of st. k.'!C11,'9of st. k.'!$C$4:'9of st. k.'!$C$29,1)+COUNTIF('9of st. k.'!$C$4:'9of st. k.'!C11,'9of st. k.'!C11)-1</f>
        <v>1</v>
      </c>
      <c r="C11" s="5" t="str">
        <f>INDEX('9of st. k.'!B4:G29,MATCH(8,B4:B29,0),1)</f>
        <v>sanocki</v>
      </c>
      <c r="D11" s="6">
        <f>INDEX('9of st. k.'!B4:G29,MATCH(8,B4:B29,0),2)</f>
        <v>35</v>
      </c>
      <c r="E11" s="37">
        <f>INDEX('9of st. k.'!B4:G29,MATCH(8,B4:B29,0),3)</f>
        <v>18</v>
      </c>
      <c r="F11" s="6">
        <f>INDEX('9of st. k.'!B4:G29,MATCH(8,B4:B29,0),4)</f>
        <v>17</v>
      </c>
      <c r="G11" s="37">
        <f>INDEX('9of st. k.'!B4:G29,MATCH(8,B4:B29,0),5)</f>
        <v>18</v>
      </c>
      <c r="H11" s="6">
        <f>INDEX('9of st. k.'!B4:G29,MATCH(8,B4:B29,0),6)</f>
        <v>17</v>
      </c>
    </row>
    <row r="12" spans="2:8" x14ac:dyDescent="0.2">
      <c r="B12" s="6">
        <f>RANK('9of st. k.'!C12,'9of st. k.'!$C$4:'9of st. k.'!$C$29,1)+COUNTIF('9of st. k.'!$C$4:'9of st. k.'!C12,'9of st. k.'!C12)-1</f>
        <v>7</v>
      </c>
      <c r="C12" s="5" t="str">
        <f>INDEX('9of st. k.'!B4:G29,MATCH(9,B4:B29,0),1)</f>
        <v>jarosławski</v>
      </c>
      <c r="D12" s="6">
        <f>INDEX('9of st. k.'!B4:G29,MATCH(9,B4:B29,0),2)</f>
        <v>39</v>
      </c>
      <c r="E12" s="37">
        <f>INDEX('9of st. k.'!B4:G29,MATCH(9,B4:B29,0),3)</f>
        <v>74</v>
      </c>
      <c r="F12" s="6">
        <f>INDEX('9of st. k.'!B4:G29,MATCH(9,B4:B29,0),4)</f>
        <v>-35</v>
      </c>
      <c r="G12" s="37">
        <f>INDEX('9of st. k.'!B4:G29,MATCH(9,B4:B29,0),5)</f>
        <v>19</v>
      </c>
      <c r="H12" s="6">
        <f>INDEX('9of st. k.'!B4:G29,MATCH(9,B4:B29,0),6)</f>
        <v>20</v>
      </c>
    </row>
    <row r="13" spans="2:8" x14ac:dyDescent="0.2">
      <c r="B13" s="6">
        <f>RANK('9of st. k.'!C13,'9of st. k.'!$C$4:'9of st. k.'!$C$29,1)+COUNTIF('9of st. k.'!$C$4:'9of st. k.'!C13,'9of st. k.'!C13)-1</f>
        <v>10</v>
      </c>
      <c r="C13" s="5" t="str">
        <f>INDEX('9of st. k.'!B4:G29,MATCH(10,B4:B29,0),1)</f>
        <v>lubaczowski</v>
      </c>
      <c r="D13" s="6">
        <f>INDEX('9of st. k.'!B4:G29,MATCH(10,B4:B29,0),2)</f>
        <v>40</v>
      </c>
      <c r="E13" s="37">
        <f>INDEX('9of st. k.'!B4:G29,MATCH(10,B4:B29,0),3)</f>
        <v>38</v>
      </c>
      <c r="F13" s="6">
        <f>INDEX('9of st. k.'!B4:G29,MATCH(10,B4:B29,0),4)</f>
        <v>2</v>
      </c>
      <c r="G13" s="37">
        <f>INDEX('9of st. k.'!B4:G29,MATCH(10,B4:B29,0),5)</f>
        <v>50</v>
      </c>
      <c r="H13" s="6">
        <f>INDEX('9of st. k.'!B4:G29,MATCH(10,B4:B29,0),6)</f>
        <v>-10</v>
      </c>
    </row>
    <row r="14" spans="2:8" x14ac:dyDescent="0.2">
      <c r="B14" s="6">
        <f>RANK('9of st. k.'!C14,'9of st. k.'!$C$4:'9of st. k.'!$C$29,1)+COUNTIF('9of st. k.'!$C$4:'9of st. k.'!C14,'9of st. k.'!C14)-1</f>
        <v>12</v>
      </c>
      <c r="C14" s="5" t="str">
        <f>INDEX('9of st. k.'!B4:G29,MATCH(11,B4:B29,0),1)</f>
        <v>Tarnobrzeg</v>
      </c>
      <c r="D14" s="6">
        <f>INDEX('9of st. k.'!B4:G29,MATCH(11,B4:B29,0),2)</f>
        <v>46</v>
      </c>
      <c r="E14" s="37">
        <f>INDEX('9of st. k.'!B4:G29,MATCH(11,B4:B29,0),3)</f>
        <v>49</v>
      </c>
      <c r="F14" s="6">
        <f>INDEX('9of st. k.'!B4:G29,MATCH(11,B4:B29,0),4)</f>
        <v>-3</v>
      </c>
      <c r="G14" s="37">
        <f>INDEX('9of st. k.'!B4:G29,MATCH(11,B4:B29,0),5)</f>
        <v>27</v>
      </c>
      <c r="H14" s="6">
        <f>INDEX('9of st. k.'!B4:G29,MATCH(11,B4:B29,0),6)</f>
        <v>19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łańcucki</v>
      </c>
      <c r="D15" s="6">
        <f>INDEX('9of st. k.'!B4:G29,MATCH(12,B4:B29,0),2)</f>
        <v>49</v>
      </c>
      <c r="E15" s="37">
        <f>INDEX('9of st. k.'!B4:G29,MATCH(12,B4:B29,0),3)</f>
        <v>58</v>
      </c>
      <c r="F15" s="6">
        <f>INDEX('9of st. k.'!B4:G29,MATCH(12,B4:B29,0),4)</f>
        <v>-9</v>
      </c>
      <c r="G15" s="37">
        <f>INDEX('9of st. k.'!B4:G29,MATCH(12,B4:B29,0),5)</f>
        <v>22</v>
      </c>
      <c r="H15" s="6">
        <f>INDEX('9of st. k.'!B4:G29,MATCH(12,B4:B29,0),6)</f>
        <v>27</v>
      </c>
    </row>
    <row r="16" spans="2:8" x14ac:dyDescent="0.2">
      <c r="B16" s="6">
        <f>RANK('9of st. k.'!C16,'9of st. k.'!$C$4:'9of st. k.'!$C$29,1)+COUNTIF('9of st. k.'!$C$4:'9of st. k.'!C16,'9of st. k.'!C16)-1</f>
        <v>20</v>
      </c>
      <c r="C16" s="5" t="str">
        <f>INDEX('9of st. k.'!B4:G29,MATCH(13,B4:B29,0),1)</f>
        <v>Przemyśl</v>
      </c>
      <c r="D16" s="6">
        <f>INDEX('9of st. k.'!B4:G29,MATCH(13,B4:B29,0),2)</f>
        <v>54</v>
      </c>
      <c r="E16" s="37">
        <f>INDEX('9of st. k.'!B4:G29,MATCH(13,B4:B29,0),3)</f>
        <v>33</v>
      </c>
      <c r="F16" s="6">
        <f>INDEX('9of st. k.'!B4:G29,MATCH(13,B4:B29,0),4)</f>
        <v>21</v>
      </c>
      <c r="G16" s="37">
        <f>INDEX('9of st. k.'!B4:G29,MATCH(13,B4:B29,0),5)</f>
        <v>49</v>
      </c>
      <c r="H16" s="6">
        <f>INDEX('9of st. k.'!B4:G29,MATCH(13,B4:B29,0),6)</f>
        <v>5</v>
      </c>
    </row>
    <row r="17" spans="2:8" x14ac:dyDescent="0.2">
      <c r="B17" s="6">
        <f>RANK('9of st. k.'!C17,'9of st. k.'!$C$4:'9of st. k.'!$C$29,1)+COUNTIF('9of st. k.'!$C$4:'9of st. k.'!C17,'9of st. k.'!C17)-1</f>
        <v>4</v>
      </c>
      <c r="C17" s="5" t="str">
        <f>INDEX('9of st. k.'!B4:G29,MATCH(14,B4:B29,0),1)</f>
        <v>ropczycko-sędziszowski</v>
      </c>
      <c r="D17" s="6">
        <f>INDEX('9of st. k.'!B4:G29,MATCH(14,B4:B29,0),2)</f>
        <v>59</v>
      </c>
      <c r="E17" s="37">
        <f>INDEX('9of st. k.'!B4:G29,MATCH(14,B4:B29,0),3)</f>
        <v>55</v>
      </c>
      <c r="F17" s="6">
        <f>INDEX('9of st. k.'!B4:G29,MATCH(14,B4:B29,0),4)</f>
        <v>4</v>
      </c>
      <c r="G17" s="37">
        <f>INDEX('9of st. k.'!B4:G29,MATCH(14,B4:B29,0),5)</f>
        <v>54</v>
      </c>
      <c r="H17" s="6">
        <f>INDEX('9of st. k.'!B4:G29,MATCH(14,B4:B29,0),6)</f>
        <v>5</v>
      </c>
    </row>
    <row r="18" spans="2:8" x14ac:dyDescent="0.2">
      <c r="B18" s="6">
        <f>RANK('9of st. k.'!C18,'9of st. k.'!$C$4:'9of st. k.'!$C$29,1)+COUNTIF('9of st. k.'!$C$4:'9of st. k.'!C18,'9of st. k.'!C18)-1</f>
        <v>16</v>
      </c>
      <c r="C18" s="5" t="str">
        <f>INDEX('9of st. k.'!B4:G29,MATCH(15,B4:B29,0),1)</f>
        <v>kolbuszowski</v>
      </c>
      <c r="D18" s="6">
        <f>INDEX('9of st. k.'!B4:G29,MATCH(15,B4:B29,0),2)</f>
        <v>63</v>
      </c>
      <c r="E18" s="37">
        <f>INDEX('9of st. k.'!B4:G29,MATCH(15,B4:B29,0),3)</f>
        <v>46</v>
      </c>
      <c r="F18" s="6">
        <f>INDEX('9of st. k.'!B4:G29,MATCH(15,B4:B29,0),4)</f>
        <v>17</v>
      </c>
      <c r="G18" s="37">
        <f>INDEX('9of st. k.'!B4:G29,MATCH(15,B4:B29,0),5)</f>
        <v>31</v>
      </c>
      <c r="H18" s="6">
        <f>INDEX('9of st. k.'!B4:G29,MATCH(15,B4:B29,0),6)</f>
        <v>32</v>
      </c>
    </row>
    <row r="19" spans="2:8" x14ac:dyDescent="0.2">
      <c r="B19" s="6">
        <f>RANK('9of st. k.'!C19,'9of st. k.'!$C$4:'9of st. k.'!$C$29,1)+COUNTIF('9of st. k.'!$C$4:'9of st. k.'!C19,'9of st. k.'!C19)-1</f>
        <v>14</v>
      </c>
      <c r="C19" s="5" t="str">
        <f>INDEX('9of st. k.'!B4:G29,MATCH(16,B4:B29,0),1)</f>
        <v>przeworski</v>
      </c>
      <c r="D19" s="6">
        <f>INDEX('9of st. k.'!B4:G29,MATCH(16,B4:B29,0),2)</f>
        <v>72</v>
      </c>
      <c r="E19" s="37">
        <f>INDEX('9of st. k.'!B4:G29,MATCH(16,B4:B29,0),3)</f>
        <v>85</v>
      </c>
      <c r="F19" s="6">
        <f>INDEX('9of st. k.'!B4:G29,MATCH(16,B4:B29,0),4)</f>
        <v>-13</v>
      </c>
      <c r="G19" s="37">
        <f>INDEX('9of st. k.'!B4:G29,MATCH(16,B4:B29,0),5)</f>
        <v>172</v>
      </c>
      <c r="H19" s="6">
        <f>INDEX('9of st. k.'!B4:G29,MATCH(16,B4:B29,0),6)</f>
        <v>-100</v>
      </c>
    </row>
    <row r="20" spans="2:8" x14ac:dyDescent="0.2">
      <c r="B20" s="6">
        <f>RANK('9of st. k.'!C20,'9of st. k.'!$C$4:'9of st. k.'!$C$29,1)+COUNTIF('9of st. k.'!$C$4:'9of st. k.'!C20,'9of st. k.'!C20)-1</f>
        <v>18</v>
      </c>
      <c r="C20" s="5" t="str">
        <f>INDEX('9of st. k.'!B4:G29,MATCH(17,B4:B29,0),1)</f>
        <v>Krosno</v>
      </c>
      <c r="D20" s="6">
        <f>INDEX('9of st. k.'!B4:G29,MATCH(17,B4:B29,0),2)</f>
        <v>73</v>
      </c>
      <c r="E20" s="37">
        <f>INDEX('9of st. k.'!B4:G29,MATCH(17,B4:B29,0),3)</f>
        <v>127</v>
      </c>
      <c r="F20" s="6">
        <f>INDEX('9of st. k.'!B4:G29,MATCH(17,B4:B29,0),4)</f>
        <v>-54</v>
      </c>
      <c r="G20" s="37">
        <f>INDEX('9of st. k.'!B4:G29,MATCH(17,B4:B29,0),5)</f>
        <v>14</v>
      </c>
      <c r="H20" s="6">
        <f>INDEX('9of st. k.'!B4:G29,MATCH(17,B4:B29,0),6)</f>
        <v>59</v>
      </c>
    </row>
    <row r="21" spans="2:8" x14ac:dyDescent="0.2">
      <c r="B21" s="6">
        <f>RANK('9of st. k.'!C21,'9of st. k.'!$C$4:'9of st. k.'!$C$29,1)+COUNTIF('9of st. k.'!$C$4:'9of st. k.'!C21,'9of st. k.'!C21)-1</f>
        <v>8</v>
      </c>
      <c r="C21" s="5" t="str">
        <f>INDEX('9of st. k.'!B4:G29,MATCH(18,B4:B29,0),1)</f>
        <v>rzeszowski</v>
      </c>
      <c r="D21" s="6">
        <f>INDEX('9of st. k.'!B4:G29,MATCH(18,B4:B29,0),2)</f>
        <v>76</v>
      </c>
      <c r="E21" s="37">
        <f>INDEX('9of st. k.'!B4:G29,MATCH(18,B4:B29,0),3)</f>
        <v>101</v>
      </c>
      <c r="F21" s="6">
        <f>INDEX('9of st. k.'!B4:G29,MATCH(18,B4:B29,0),4)</f>
        <v>-25</v>
      </c>
      <c r="G21" s="37">
        <f>INDEX('9of st. k.'!B4:G29,MATCH(18,B4:B29,0),5)</f>
        <v>80</v>
      </c>
      <c r="H21" s="6">
        <f>INDEX('9of st. k.'!B4:G29,MATCH(18,B4:B29,0),6)</f>
        <v>-4</v>
      </c>
    </row>
    <row r="22" spans="2:8" x14ac:dyDescent="0.2">
      <c r="B22" s="6">
        <f>RANK('9of st. k.'!C22,'9of st. k.'!$C$4:'9of st. k.'!$C$29,1)+COUNTIF('9of st. k.'!$C$4:'9of st. k.'!C22,'9of st. k.'!C22)-1</f>
        <v>21</v>
      </c>
      <c r="C22" s="5" t="str">
        <f>INDEX('9of st. k.'!B4:G29,MATCH(19,B4:B29,0),1)</f>
        <v>jasielski</v>
      </c>
      <c r="D22" s="6">
        <f>INDEX('9of st. k.'!B4:G29,MATCH(19,B4:B29,0),2)</f>
        <v>81</v>
      </c>
      <c r="E22" s="37">
        <f>INDEX('9of st. k.'!B4:G29,MATCH(19,B4:B29,0),3)</f>
        <v>109</v>
      </c>
      <c r="F22" s="6">
        <f>INDEX('9of st. k.'!B4:G29,MATCH(19,B4:B29,0),4)</f>
        <v>-28</v>
      </c>
      <c r="G22" s="37">
        <f>INDEX('9of st. k.'!B4:G29,MATCH(19,B4:B29,0),5)</f>
        <v>116</v>
      </c>
      <c r="H22" s="6">
        <f>INDEX('9of st. k.'!B4:G29,MATCH(19,B4:B29,0),6)</f>
        <v>-35</v>
      </c>
    </row>
    <row r="23" spans="2:8" x14ac:dyDescent="0.2">
      <c r="B23" s="6">
        <f>RANK('9of st. k.'!C23,'9of st. k.'!$C$4:'9of st. k.'!$C$29,1)+COUNTIF('9of st. k.'!$C$4:'9of st. k.'!C23,'9of st. k.'!C23)-1</f>
        <v>5</v>
      </c>
      <c r="C23" s="5" t="str">
        <f>INDEX('9of st. k.'!B4:G29,MATCH(20,B4:B29,0),1)</f>
        <v>niżański</v>
      </c>
      <c r="D23" s="6">
        <f>INDEX('9of st. k.'!B4:G29,MATCH(20,B4:B29,0),2)</f>
        <v>101</v>
      </c>
      <c r="E23" s="37">
        <f>INDEX('9of st. k.'!B4:G29,MATCH(20,B4:B29,0),3)</f>
        <v>49</v>
      </c>
      <c r="F23" s="6">
        <f>INDEX('9of st. k.'!B4:G29,MATCH(20,B4:B29,0),4)</f>
        <v>52</v>
      </c>
      <c r="G23" s="37">
        <f>INDEX('9of st. k.'!B4:G29,MATCH(20,B4:B29,0),5)</f>
        <v>75</v>
      </c>
      <c r="H23" s="6">
        <f>INDEX('9of st. k.'!B4:G29,MATCH(20,B4:B29,0),6)</f>
        <v>26</v>
      </c>
    </row>
    <row r="24" spans="2:8" x14ac:dyDescent="0.2">
      <c r="B24" s="6">
        <f>RANK('9of st. k.'!C24,'9of st. k.'!$C$4:'9of st. k.'!$C$29,1)+COUNTIF('9of st. k.'!$C$4:'9of st. k.'!C24,'9of st. k.'!C24)-1</f>
        <v>23</v>
      </c>
      <c r="C24" s="5" t="str">
        <f>INDEX('9of st. k.'!B4:G29,MATCH(21,B4:B29,0),1)</f>
        <v>stalowowolski</v>
      </c>
      <c r="D24" s="6">
        <f>INDEX('9of st. k.'!B4:G29,MATCH(21,B4:B29,0),2)</f>
        <v>104</v>
      </c>
      <c r="E24" s="37">
        <f>INDEX('9of st. k.'!B4:G29,MATCH(21,B4:B29,0),3)</f>
        <v>106</v>
      </c>
      <c r="F24" s="6">
        <f>INDEX('9of st. k.'!B4:G29,MATCH(21,B4:B29,0),4)</f>
        <v>-2</v>
      </c>
      <c r="G24" s="37">
        <f>INDEX('9of st. k.'!B4:G29,MATCH(21,B4:B29,0),5)</f>
        <v>47</v>
      </c>
      <c r="H24" s="6">
        <f>INDEX('9of st. k.'!B4:G29,MATCH(21,B4:B29,0),6)</f>
        <v>57</v>
      </c>
    </row>
    <row r="25" spans="2:8" x14ac:dyDescent="0.2">
      <c r="B25" s="6">
        <f>RANK('9of st. k.'!C25,'9of st. k.'!$C$4:'9of st. k.'!$C$29,1)+COUNTIF('9of st. k.'!$C$4:'9of st. k.'!C25,'9of st. k.'!C25)-1</f>
        <v>17</v>
      </c>
      <c r="C25" s="5" t="str">
        <f>INDEX('9of st. k.'!B4:G29,MATCH(22,B4:B29,0),1)</f>
        <v>dębicki</v>
      </c>
      <c r="D25" s="6">
        <f>INDEX('9of st. k.'!B4:G29,MATCH(22,B4:B29,0),2)</f>
        <v>118</v>
      </c>
      <c r="E25" s="37">
        <f>INDEX('9of st. k.'!B4:G29,MATCH(22,B4:B29,0),3)</f>
        <v>168</v>
      </c>
      <c r="F25" s="6">
        <f>INDEX('9of st. k.'!B4:G29,MATCH(22,B4:B29,0),4)</f>
        <v>-50</v>
      </c>
      <c r="G25" s="37">
        <f>INDEX('9of st. k.'!B4:G29,MATCH(22,B4:B29,0),5)</f>
        <v>166</v>
      </c>
      <c r="H25" s="6">
        <f>INDEX('9of st. k.'!B4:G29,MATCH(22,B4:B29,0),6)</f>
        <v>-48</v>
      </c>
    </row>
    <row r="26" spans="2:8" x14ac:dyDescent="0.2">
      <c r="B26" s="6">
        <f>RANK('9of st. k.'!C26,'9of st. k.'!$C$4:'9of st. k.'!$C$29,1)+COUNTIF('9of st. k.'!$C$4:'9of st. k.'!C26,'9of st. k.'!C26)-1</f>
        <v>13</v>
      </c>
      <c r="C26" s="5" t="str">
        <f>INDEX('9of st. k.'!B4:G29,MATCH(23,B4:B29,0),1)</f>
        <v xml:space="preserve">tarnobrzeski </v>
      </c>
      <c r="D26" s="6">
        <f>INDEX('9of st. k.'!B4:G29,MATCH(23,B4:B29,0),2)</f>
        <v>128</v>
      </c>
      <c r="E26" s="37">
        <f>INDEX('9of st. k.'!B4:G29,MATCH(23,B4:B29,0),3)</f>
        <v>38</v>
      </c>
      <c r="F26" s="6">
        <f>INDEX('9of st. k.'!B4:G29,MATCH(23,B4:B29,0),4)</f>
        <v>90</v>
      </c>
      <c r="G26" s="37">
        <f>INDEX('9of st. k.'!B4:G29,MATCH(23,B4:B29,0),5)</f>
        <v>21</v>
      </c>
      <c r="H26" s="6">
        <f>INDEX('9of st. k.'!B4:G29,MATCH(23,B4:B29,0),6)</f>
        <v>107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203</v>
      </c>
      <c r="E27" s="37">
        <f>INDEX('9of st. k.'!B4:G29,MATCH(24,B4:B29,0),3)</f>
        <v>275</v>
      </c>
      <c r="F27" s="6">
        <f>INDEX('9of st. k.'!B4:G29,MATCH(24,B4:B29,0),4)</f>
        <v>-72</v>
      </c>
      <c r="G27" s="37">
        <f>INDEX('9of st. k.'!B4:G29,MATCH(24,B4:B29,0),5)</f>
        <v>232</v>
      </c>
      <c r="H27" s="6">
        <f>INDEX('9of st. k.'!B4:G29,MATCH(24,B4:B29,0),6)</f>
        <v>-29</v>
      </c>
    </row>
    <row r="28" spans="2:8" x14ac:dyDescent="0.2">
      <c r="B28" s="6">
        <f>RANK('9of st. k.'!C28,'9of st. k.'!$C$4:'9of st. k.'!$C$29,1)+COUNTIF('9of st. k.'!$C$4:'9of st. k.'!C28,'9of st. k.'!C28)-1</f>
        <v>11</v>
      </c>
      <c r="C28" s="5" t="str">
        <f>INDEX('9of st. k.'!B4:G29,MATCH(25,B4:B29,0),1)</f>
        <v>mielecki</v>
      </c>
      <c r="D28" s="6">
        <f>INDEX('9of st. k.'!B4:G29,MATCH(25,B4:B29,0),2)</f>
        <v>265</v>
      </c>
      <c r="E28" s="37">
        <f>INDEX('9of st. k.'!B4:G29,MATCH(25,B4:B29,0),3)</f>
        <v>238</v>
      </c>
      <c r="F28" s="6">
        <f>INDEX('9of st. k.'!B4:G29,MATCH(25,B4:B29,0),4)</f>
        <v>27</v>
      </c>
      <c r="G28" s="37">
        <f>INDEX('9of st. k.'!B4:G29,MATCH(25,B4:B29,0),5)</f>
        <v>262</v>
      </c>
      <c r="H28" s="6">
        <f>INDEX('9of st. k.'!B4:G29,MATCH(25,B4:B29,0),6)</f>
        <v>3</v>
      </c>
    </row>
    <row r="29" spans="2:8" ht="15" x14ac:dyDescent="0.25">
      <c r="B29" s="35">
        <f>RANK('9of st. k.'!C29,'9of st. k.'!$C$4:'9of st. k.'!$C$29,1)+COUNTIF('9of st. k.'!$C$4:'9of st. k.'!C29,'9of st. k.'!C29)-1</f>
        <v>26</v>
      </c>
      <c r="C29" s="34" t="str">
        <f>INDEX('9of st. k.'!B4:G29,MATCH(26,B4:B29,0),1)</f>
        <v>województwo</v>
      </c>
      <c r="D29" s="35">
        <f>INDEX('9of st. k.'!B4:G29,MATCH(26,B4:B29,0),2)</f>
        <v>1706</v>
      </c>
      <c r="E29" s="39">
        <f>INDEX('9of st. k.'!B4:G29,MATCH(26,B4:B29,0),3)</f>
        <v>1821</v>
      </c>
      <c r="F29" s="35">
        <f>INDEX('9of st. k.'!B4:G29,MATCH(26,B4:B29,0),4)</f>
        <v>-115</v>
      </c>
      <c r="G29" s="39">
        <f>INDEX('9of st. k.'!B4:G29,MATCH(26,B4:B29,0),5)</f>
        <v>1627</v>
      </c>
      <c r="H29" s="35">
        <f>INDEX('9of st. k.'!B4:G29,MATCH(26,B4:B29,0),6)</f>
        <v>79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46" customWidth="1"/>
    <col min="2" max="2" width="4.28515625" style="66" customWidth="1"/>
    <col min="3" max="3" width="20.140625" style="46" customWidth="1"/>
    <col min="4" max="4" width="8" style="46" customWidth="1"/>
    <col min="5" max="5" width="8.140625" style="46" customWidth="1"/>
    <col min="6" max="6" width="6.28515625" style="46" customWidth="1"/>
    <col min="7" max="7" width="1.5703125" style="46" customWidth="1"/>
    <col min="8" max="8" width="7.85546875" style="46" customWidth="1"/>
    <col min="9" max="9" width="8.140625" style="46" customWidth="1"/>
    <col min="10" max="10" width="6.7109375" style="46" customWidth="1"/>
    <col min="11" max="11" width="1.5703125" style="46" customWidth="1"/>
    <col min="12" max="12" width="6.85546875" style="46" customWidth="1"/>
    <col min="13" max="13" width="7" style="46" customWidth="1"/>
    <col min="14" max="14" width="6.5703125" style="46" customWidth="1"/>
    <col min="15" max="15" width="1.85546875" style="46" customWidth="1"/>
    <col min="16" max="16" width="5.85546875" style="46" customWidth="1"/>
    <col min="17" max="17" width="2" style="46" customWidth="1"/>
    <col min="18" max="18" width="7.42578125" style="46" customWidth="1"/>
    <col min="19" max="19" width="7.140625" style="46" customWidth="1"/>
    <col min="20" max="20" width="6.42578125" style="46" customWidth="1"/>
    <col min="21" max="21" width="2.140625" style="46" customWidth="1"/>
    <col min="22" max="22" width="6.42578125" style="46" customWidth="1"/>
    <col min="23" max="23" width="6.5703125" style="46" customWidth="1"/>
    <col min="24" max="24" width="6.7109375" style="46" customWidth="1"/>
    <col min="25" max="25" width="1.85546875" style="46" customWidth="1"/>
    <col min="26" max="26" width="6.7109375" style="46" customWidth="1"/>
    <col min="27" max="27" width="2" style="46" customWidth="1"/>
    <col min="28" max="28" width="4.7109375" style="66" customWidth="1"/>
    <col min="29" max="29" width="18.42578125" style="46" customWidth="1"/>
    <col min="30" max="30" width="10.28515625" style="46" customWidth="1"/>
    <col min="31" max="31" width="1.7109375" style="46" customWidth="1"/>
    <col min="32" max="32" width="5" style="46" customWidth="1"/>
    <col min="33" max="33" width="18.28515625" style="46" customWidth="1"/>
    <col min="34" max="34" width="10.85546875" style="46" customWidth="1"/>
    <col min="35" max="35" width="1.5703125" style="46" customWidth="1"/>
    <col min="36" max="16384" width="9.140625" style="46"/>
  </cols>
  <sheetData>
    <row r="1" spans="2:35" ht="11.25" customHeight="1" x14ac:dyDescent="0.4">
      <c r="C1" s="180">
        <v>6</v>
      </c>
      <c r="D1" s="93"/>
      <c r="E1" s="93"/>
      <c r="F1" s="93"/>
      <c r="G1" s="29"/>
      <c r="H1" s="29"/>
      <c r="I1" s="29"/>
      <c r="J1" s="29"/>
      <c r="K1" s="29"/>
      <c r="L1" s="29"/>
      <c r="M1" s="29"/>
      <c r="N1" s="29"/>
      <c r="O1" s="29"/>
      <c r="Q1" s="45"/>
      <c r="S1" s="29"/>
      <c r="U1" s="45"/>
      <c r="X1" s="29"/>
      <c r="Y1" s="29"/>
      <c r="Z1" s="29"/>
      <c r="AA1" s="45"/>
    </row>
    <row r="2" spans="2:35" ht="13.5" customHeight="1" x14ac:dyDescent="0.2">
      <c r="C2" s="129" t="s">
        <v>47</v>
      </c>
      <c r="D2" s="90"/>
      <c r="E2" s="90"/>
      <c r="F2" s="90"/>
      <c r="G2" s="91"/>
      <c r="H2" s="129" t="s">
        <v>48</v>
      </c>
      <c r="I2" s="91"/>
      <c r="J2" s="91"/>
      <c r="K2" s="91"/>
      <c r="L2" s="129" t="s">
        <v>49</v>
      </c>
      <c r="M2" s="91"/>
      <c r="N2" s="91"/>
      <c r="O2" s="91"/>
      <c r="P2" s="45"/>
      <c r="Q2" s="74"/>
      <c r="R2" s="130" t="s">
        <v>56</v>
      </c>
      <c r="S2" s="91"/>
      <c r="T2" s="45"/>
      <c r="U2" s="74"/>
      <c r="V2" s="130" t="s">
        <v>56</v>
      </c>
      <c r="W2" s="45"/>
      <c r="X2" s="91"/>
      <c r="Y2" s="91"/>
      <c r="Z2" s="91"/>
      <c r="AA2" s="74"/>
      <c r="AB2" s="92"/>
      <c r="AC2" s="75"/>
      <c r="AD2" s="75"/>
      <c r="AE2" s="75"/>
      <c r="AF2" s="75"/>
      <c r="AG2" s="75"/>
      <c r="AH2" s="75"/>
      <c r="AI2" s="75"/>
    </row>
    <row r="3" spans="2:35" ht="13.5" customHeight="1" x14ac:dyDescent="0.2">
      <c r="C3" s="129"/>
      <c r="D3" s="90"/>
      <c r="E3" s="90"/>
      <c r="F3" s="90"/>
      <c r="G3" s="91"/>
      <c r="H3" s="129"/>
      <c r="I3" s="91"/>
      <c r="J3" s="91"/>
      <c r="K3" s="91"/>
      <c r="L3" s="129"/>
      <c r="M3" s="91"/>
      <c r="N3" s="91"/>
      <c r="O3" s="91"/>
      <c r="P3" s="45"/>
      <c r="Q3" s="74"/>
      <c r="R3" s="130"/>
      <c r="S3" s="91"/>
      <c r="T3" s="45"/>
      <c r="U3" s="74"/>
      <c r="V3" s="130"/>
      <c r="W3" s="45"/>
      <c r="X3" s="91"/>
      <c r="Y3" s="91"/>
      <c r="Z3" s="91"/>
      <c r="AA3" s="74"/>
      <c r="AB3" s="92"/>
      <c r="AC3" s="75"/>
      <c r="AD3" s="75"/>
      <c r="AE3" s="75"/>
      <c r="AF3" s="75"/>
      <c r="AG3" s="75"/>
      <c r="AH3" s="75"/>
      <c r="AI3" s="75"/>
    </row>
    <row r="4" spans="2:35" ht="13.5" customHeight="1" thickBot="1" x14ac:dyDescent="0.25">
      <c r="C4" s="129"/>
      <c r="D4" s="90"/>
      <c r="E4" s="90"/>
      <c r="F4" s="90"/>
      <c r="G4" s="91"/>
      <c r="H4" s="129"/>
      <c r="I4" s="91"/>
      <c r="J4" s="91"/>
      <c r="K4" s="91"/>
      <c r="L4" s="129"/>
      <c r="M4" s="91"/>
      <c r="N4" s="91"/>
      <c r="O4" s="91"/>
      <c r="P4" s="45"/>
      <c r="Q4" s="74"/>
      <c r="R4" s="130"/>
      <c r="S4" s="91"/>
      <c r="T4" s="45"/>
      <c r="U4" s="74"/>
      <c r="V4" s="130"/>
      <c r="W4" s="45"/>
      <c r="X4" s="91"/>
      <c r="Y4" s="91"/>
      <c r="Z4" s="91"/>
      <c r="AA4" s="74"/>
      <c r="AB4" s="92"/>
      <c r="AC4" s="75"/>
      <c r="AD4" s="75"/>
      <c r="AE4" s="75"/>
      <c r="AF4" s="75"/>
      <c r="AG4" s="75"/>
      <c r="AH4" s="75"/>
      <c r="AI4" s="75"/>
    </row>
    <row r="5" spans="2:35" ht="47.25" customHeight="1" thickBot="1" x14ac:dyDescent="0.25">
      <c r="B5" s="113"/>
      <c r="C5" s="89" t="s">
        <v>27</v>
      </c>
      <c r="D5" s="94" t="s">
        <v>84</v>
      </c>
      <c r="E5" s="96" t="s">
        <v>83</v>
      </c>
      <c r="F5" s="114" t="s">
        <v>51</v>
      </c>
      <c r="G5" s="70"/>
      <c r="H5" s="95" t="s">
        <v>82</v>
      </c>
      <c r="I5" s="96" t="s">
        <v>81</v>
      </c>
      <c r="J5" s="114" t="s">
        <v>52</v>
      </c>
      <c r="K5" s="70"/>
      <c r="L5" s="95" t="s">
        <v>80</v>
      </c>
      <c r="M5" s="96" t="s">
        <v>79</v>
      </c>
      <c r="N5" s="114" t="s">
        <v>51</v>
      </c>
      <c r="O5" s="70"/>
      <c r="P5" s="112" t="s">
        <v>50</v>
      </c>
      <c r="Q5" s="72"/>
      <c r="R5" s="119" t="s">
        <v>57</v>
      </c>
      <c r="S5" s="96" t="s">
        <v>77</v>
      </c>
      <c r="T5" s="124" t="s">
        <v>60</v>
      </c>
      <c r="U5" s="48"/>
      <c r="V5" s="119" t="s">
        <v>73</v>
      </c>
      <c r="W5" s="104" t="s">
        <v>78</v>
      </c>
      <c r="X5" s="125" t="s">
        <v>61</v>
      </c>
      <c r="Y5" s="147"/>
      <c r="Z5" s="112" t="s">
        <v>62</v>
      </c>
      <c r="AB5" s="146" t="s">
        <v>58</v>
      </c>
      <c r="AC5" s="126"/>
      <c r="AD5" s="127" t="s">
        <v>63</v>
      </c>
      <c r="AE5" s="109"/>
      <c r="AF5" s="146" t="s">
        <v>59</v>
      </c>
      <c r="AG5" s="126"/>
      <c r="AH5" s="127" t="s">
        <v>64</v>
      </c>
      <c r="AI5" s="72"/>
    </row>
    <row r="6" spans="2:35" x14ac:dyDescent="0.2">
      <c r="B6" s="113">
        <v>1</v>
      </c>
      <c r="C6" s="76" t="s">
        <v>0</v>
      </c>
      <c r="D6" s="137">
        <v>252</v>
      </c>
      <c r="E6" s="138">
        <v>222</v>
      </c>
      <c r="F6" s="97">
        <f t="shared" ref="F6:F31" si="0">D6-E6</f>
        <v>30</v>
      </c>
      <c r="G6" s="68"/>
      <c r="H6" s="47">
        <v>44</v>
      </c>
      <c r="I6" s="49">
        <v>123</v>
      </c>
      <c r="J6" s="62">
        <f>H6-I6</f>
        <v>-79</v>
      </c>
      <c r="K6" s="71"/>
      <c r="L6" s="47">
        <v>39</v>
      </c>
      <c r="M6" s="49">
        <v>97</v>
      </c>
      <c r="N6" s="62">
        <f>L6-M6</f>
        <v>-58</v>
      </c>
      <c r="O6" s="71"/>
      <c r="P6" s="56">
        <f>F6+J6+N6</f>
        <v>-107</v>
      </c>
      <c r="Q6" s="73"/>
      <c r="R6" s="120">
        <v>1130</v>
      </c>
      <c r="S6" s="181">
        <v>992</v>
      </c>
      <c r="T6" s="58">
        <f>SUM(S6-R6)</f>
        <v>-138</v>
      </c>
      <c r="U6" s="50"/>
      <c r="V6" s="120">
        <v>1112</v>
      </c>
      <c r="W6" s="102">
        <v>1086</v>
      </c>
      <c r="X6" s="102">
        <f>SUM(W6-V6)</f>
        <v>-26</v>
      </c>
      <c r="Y6" s="73"/>
      <c r="Z6" s="56">
        <f>SUM(T6+X6)</f>
        <v>-164</v>
      </c>
      <c r="AB6" s="56">
        <f>RANK(P6,$P$6:$P$30,1)+COUNTIF($P$6:P6,P6)-1</f>
        <v>9</v>
      </c>
      <c r="AC6" s="151" t="str">
        <f>INDEX(C6:P30,MATCH(25,AB6:AB30,0),1)</f>
        <v>mielecki</v>
      </c>
      <c r="AD6" s="163">
        <f>INDEX(C6:P30,MATCH(25,AB6:AB30,0),14)</f>
        <v>105</v>
      </c>
      <c r="AE6" s="110"/>
      <c r="AF6" s="56">
        <f>RANK(Z6,$Z$6:$Z$30,1)+COUNTIF($Z$6:Z6,Z6)-1</f>
        <v>12</v>
      </c>
      <c r="AG6" s="59" t="str">
        <f>INDEX(C6:Z30,MATCH(25,AF6:AF30,0),1)</f>
        <v>Rzeszów</v>
      </c>
      <c r="AH6" s="49">
        <f>INDEX(C6:Z30,MATCH(25,AF6:AF30,0),24)</f>
        <v>172</v>
      </c>
      <c r="AI6" s="74"/>
    </row>
    <row r="7" spans="2:35" x14ac:dyDescent="0.2">
      <c r="B7" s="113">
        <v>2</v>
      </c>
      <c r="C7" s="77" t="s">
        <v>1</v>
      </c>
      <c r="D7" s="139">
        <v>772</v>
      </c>
      <c r="E7" s="140">
        <v>826</v>
      </c>
      <c r="F7" s="98">
        <f t="shared" si="0"/>
        <v>-54</v>
      </c>
      <c r="G7" s="68"/>
      <c r="H7" s="52">
        <v>149</v>
      </c>
      <c r="I7" s="51">
        <v>233</v>
      </c>
      <c r="J7" s="63">
        <f t="shared" ref="J7:J31" si="1">H7-I7</f>
        <v>-84</v>
      </c>
      <c r="K7" s="71"/>
      <c r="L7" s="52">
        <v>56</v>
      </c>
      <c r="M7" s="51">
        <v>123</v>
      </c>
      <c r="N7" s="63">
        <f t="shared" ref="N7:N31" si="2">L7-M7</f>
        <v>-67</v>
      </c>
      <c r="O7" s="71"/>
      <c r="P7" s="57">
        <f>F7+J7+N7</f>
        <v>-205</v>
      </c>
      <c r="Q7" s="73"/>
      <c r="R7" s="121">
        <v>3780</v>
      </c>
      <c r="S7" s="131">
        <v>3490</v>
      </c>
      <c r="T7" s="67">
        <f t="shared" ref="T7:T30" si="3">SUM(S7-R7)</f>
        <v>-290</v>
      </c>
      <c r="U7" s="50"/>
      <c r="V7" s="121">
        <v>3681</v>
      </c>
      <c r="W7" s="103">
        <v>3429</v>
      </c>
      <c r="X7" s="103">
        <f t="shared" ref="X7:X30" si="4">SUM(W7-V7)</f>
        <v>-252</v>
      </c>
      <c r="Y7" s="73"/>
      <c r="Z7" s="57">
        <f>SUM(T7+X7)</f>
        <v>-542</v>
      </c>
      <c r="AB7" s="57">
        <f>RANK(P7,$P$6:$P$30,1)+COUNTIF($P$6:P7,P7)-1</f>
        <v>3</v>
      </c>
      <c r="AC7" s="60" t="str">
        <f>INDEX(C6:P30,MATCH(24,AB6:AB30,0),1)</f>
        <v>Rzeszów</v>
      </c>
      <c r="AD7" s="51">
        <f>INDEX(C6:P30,MATCH(24,AB6:AB30,0),14)</f>
        <v>50</v>
      </c>
      <c r="AE7" s="110"/>
      <c r="AF7" s="57">
        <f>RANK(Z7,$Z$6:$Z$30,1)+COUNTIF($Z$6:Z7,Z7)-1</f>
        <v>1</v>
      </c>
      <c r="AG7" s="60" t="str">
        <f>INDEX(C6:Z30,MATCH(24,AF6:AF30,0),1)</f>
        <v>Przemyśl</v>
      </c>
      <c r="AH7" s="51">
        <f>INDEX(C6:Z30,MATCH(24,AF6:AF30,0),24)</f>
        <v>123</v>
      </c>
      <c r="AI7" s="74"/>
    </row>
    <row r="8" spans="2:35" x14ac:dyDescent="0.2">
      <c r="B8" s="113">
        <v>3</v>
      </c>
      <c r="C8" s="77" t="s">
        <v>2</v>
      </c>
      <c r="D8" s="139">
        <v>1032</v>
      </c>
      <c r="E8" s="140">
        <v>875</v>
      </c>
      <c r="F8" s="98">
        <f t="shared" si="0"/>
        <v>157</v>
      </c>
      <c r="G8" s="68"/>
      <c r="H8" s="52">
        <v>60</v>
      </c>
      <c r="I8" s="51">
        <v>168</v>
      </c>
      <c r="J8" s="63">
        <f t="shared" si="1"/>
        <v>-108</v>
      </c>
      <c r="K8" s="71"/>
      <c r="L8" s="52">
        <v>45</v>
      </c>
      <c r="M8" s="51">
        <v>105</v>
      </c>
      <c r="N8" s="63">
        <f t="shared" si="2"/>
        <v>-60</v>
      </c>
      <c r="O8" s="71"/>
      <c r="P8" s="57">
        <f>F8+J8+N8</f>
        <v>-11</v>
      </c>
      <c r="Q8" s="73"/>
      <c r="R8" s="121">
        <v>2247</v>
      </c>
      <c r="S8" s="131">
        <v>2158</v>
      </c>
      <c r="T8" s="51">
        <f t="shared" si="3"/>
        <v>-89</v>
      </c>
      <c r="U8" s="45"/>
      <c r="V8" s="121">
        <v>2800</v>
      </c>
      <c r="W8" s="103">
        <v>2882</v>
      </c>
      <c r="X8" s="63">
        <f t="shared" si="4"/>
        <v>82</v>
      </c>
      <c r="Y8" s="74"/>
      <c r="Z8" s="57">
        <f t="shared" ref="Z8:Z31" si="5">SUM(T8+X8)</f>
        <v>-7</v>
      </c>
      <c r="AB8" s="57">
        <f>RANK(P8,$P$6:$P$30,1)+COUNTIF($P$6:P8,P8)-1</f>
        <v>18</v>
      </c>
      <c r="AC8" s="60" t="str">
        <f>INDEX(C6:P30,MATCH(23,AB6:AB30,0),1)</f>
        <v>rzeszowski</v>
      </c>
      <c r="AD8" s="51">
        <f>INDEX(C6:P30,MATCH(23,AB6:AB30,0),14)</f>
        <v>41</v>
      </c>
      <c r="AE8" s="110"/>
      <c r="AF8" s="57">
        <f>RANK(Z8,$Z$6:$Z$30,1)+COUNTIF($Z$6:Z8,Z8)-1</f>
        <v>20</v>
      </c>
      <c r="AG8" s="60" t="str">
        <f>INDEX(C6:Z30,MATCH(23,AF6:AF30,0),1)</f>
        <v>Krosno</v>
      </c>
      <c r="AH8" s="51">
        <f>INDEX(C6:Z30,MATCH(23,AF6:AF30,0),24)</f>
        <v>50</v>
      </c>
      <c r="AI8" s="74"/>
    </row>
    <row r="9" spans="2:35" x14ac:dyDescent="0.2">
      <c r="B9" s="113">
        <v>4</v>
      </c>
      <c r="C9" s="77" t="s">
        <v>3</v>
      </c>
      <c r="D9" s="139">
        <v>1077</v>
      </c>
      <c r="E9" s="140">
        <v>1180</v>
      </c>
      <c r="F9" s="98">
        <f t="shared" si="0"/>
        <v>-103</v>
      </c>
      <c r="G9" s="68"/>
      <c r="H9" s="52">
        <v>215</v>
      </c>
      <c r="I9" s="51">
        <v>433</v>
      </c>
      <c r="J9" s="63">
        <f t="shared" si="1"/>
        <v>-218</v>
      </c>
      <c r="K9" s="71"/>
      <c r="L9" s="52">
        <v>124</v>
      </c>
      <c r="M9" s="51">
        <v>212</v>
      </c>
      <c r="N9" s="63">
        <f t="shared" si="2"/>
        <v>-88</v>
      </c>
      <c r="O9" s="71"/>
      <c r="P9" s="57">
        <f t="shared" ref="P9:P30" si="6">F9+J9+N9</f>
        <v>-409</v>
      </c>
      <c r="Q9" s="73"/>
      <c r="R9" s="121">
        <v>4489</v>
      </c>
      <c r="S9" s="131">
        <v>4365</v>
      </c>
      <c r="T9" s="51">
        <f t="shared" si="3"/>
        <v>-124</v>
      </c>
      <c r="U9" s="45"/>
      <c r="V9" s="121">
        <v>4726</v>
      </c>
      <c r="W9" s="103">
        <v>4694</v>
      </c>
      <c r="X9" s="63">
        <f t="shared" si="4"/>
        <v>-32</v>
      </c>
      <c r="Y9" s="74"/>
      <c r="Z9" s="57">
        <f t="shared" si="5"/>
        <v>-156</v>
      </c>
      <c r="AB9" s="57">
        <f>RANK(P9,$P$6:$P$30,1)+COUNTIF($P$6:P9,P9)-1</f>
        <v>1</v>
      </c>
      <c r="AC9" s="60" t="str">
        <f>INDEX(C6:P30,MATCH(22,AB6:AB30,0),1)</f>
        <v>Krosno</v>
      </c>
      <c r="AD9" s="51">
        <f>INDEX(C6:P30,MATCH(22,AB6:AB30,0),14)</f>
        <v>32</v>
      </c>
      <c r="AE9" s="110"/>
      <c r="AF9" s="57">
        <f>RANK(Z9,$Z$6:$Z$30,1)+COUNTIF($Z$6:Z9,Z9)-1</f>
        <v>13</v>
      </c>
      <c r="AG9" s="60" t="str">
        <f>INDEX(C6:Z30,MATCH(22,AF6:AF30,0),1)</f>
        <v>stalowowolski</v>
      </c>
      <c r="AH9" s="51">
        <f>INDEX(C6:Z30,MATCH(22,AF6:AF30,0),24)</f>
        <v>35</v>
      </c>
      <c r="AI9" s="74"/>
    </row>
    <row r="10" spans="2:35" x14ac:dyDescent="0.2">
      <c r="B10" s="113">
        <v>5</v>
      </c>
      <c r="C10" s="77" t="s">
        <v>4</v>
      </c>
      <c r="D10" s="139">
        <v>1176</v>
      </c>
      <c r="E10" s="140">
        <v>1005</v>
      </c>
      <c r="F10" s="98">
        <f t="shared" si="0"/>
        <v>171</v>
      </c>
      <c r="G10" s="68"/>
      <c r="H10" s="52">
        <v>174</v>
      </c>
      <c r="I10" s="51">
        <v>344</v>
      </c>
      <c r="J10" s="63">
        <f t="shared" si="1"/>
        <v>-170</v>
      </c>
      <c r="K10" s="71"/>
      <c r="L10" s="52">
        <v>71</v>
      </c>
      <c r="M10" s="51">
        <v>166</v>
      </c>
      <c r="N10" s="63">
        <f t="shared" si="2"/>
        <v>-95</v>
      </c>
      <c r="O10" s="71"/>
      <c r="P10" s="57">
        <f t="shared" si="6"/>
        <v>-94</v>
      </c>
      <c r="Q10" s="73"/>
      <c r="R10" s="121">
        <v>4919</v>
      </c>
      <c r="S10" s="131">
        <v>4634</v>
      </c>
      <c r="T10" s="51">
        <f t="shared" si="3"/>
        <v>-285</v>
      </c>
      <c r="U10" s="45"/>
      <c r="V10" s="121">
        <v>5198</v>
      </c>
      <c r="W10" s="103">
        <v>5207</v>
      </c>
      <c r="X10" s="63">
        <f t="shared" si="4"/>
        <v>9</v>
      </c>
      <c r="Y10" s="74"/>
      <c r="Z10" s="57">
        <f t="shared" si="5"/>
        <v>-276</v>
      </c>
      <c r="AB10" s="57">
        <f>RANK(P10,$P$6:$P$30,1)+COUNTIF($P$6:P10,P10)-1</f>
        <v>10</v>
      </c>
      <c r="AC10" s="60" t="str">
        <f>INDEX(C6:P30,MATCH(21,AB6:AB30,0),1)</f>
        <v>Tarnobrzeg</v>
      </c>
      <c r="AD10" s="51">
        <f>INDEX(C6:P30,MATCH(21,AB6:AB30,0),14)</f>
        <v>21</v>
      </c>
      <c r="AE10" s="110"/>
      <c r="AF10" s="57">
        <f>RANK(Z10,$Z$6:$Z$30,1)+COUNTIF($Z$6:Z10,Z10)-1</f>
        <v>6</v>
      </c>
      <c r="AG10" s="60" t="str">
        <f>INDEX(C6:Z30,MATCH(21,AF6:AF30,0),1)</f>
        <v>Tarnobrzeg</v>
      </c>
      <c r="AH10" s="51">
        <f>INDEX(C6:Z30,MATCH(21,AF6:AF30,0),24)</f>
        <v>33</v>
      </c>
      <c r="AI10" s="74"/>
    </row>
    <row r="11" spans="2:35" x14ac:dyDescent="0.2">
      <c r="B11" s="113">
        <v>6</v>
      </c>
      <c r="C11" s="77" t="s">
        <v>5</v>
      </c>
      <c r="D11" s="139">
        <v>565</v>
      </c>
      <c r="E11" s="140">
        <v>481</v>
      </c>
      <c r="F11" s="98">
        <f t="shared" si="0"/>
        <v>84</v>
      </c>
      <c r="G11" s="68"/>
      <c r="H11" s="52">
        <v>45</v>
      </c>
      <c r="I11" s="51">
        <v>104</v>
      </c>
      <c r="J11" s="63">
        <f t="shared" si="1"/>
        <v>-59</v>
      </c>
      <c r="K11" s="71"/>
      <c r="L11" s="52">
        <v>16</v>
      </c>
      <c r="M11" s="51">
        <v>88</v>
      </c>
      <c r="N11" s="63">
        <f t="shared" si="2"/>
        <v>-72</v>
      </c>
      <c r="O11" s="71"/>
      <c r="P11" s="57">
        <f>F11+J11+N11</f>
        <v>-47</v>
      </c>
      <c r="Q11" s="73"/>
      <c r="R11" s="121">
        <v>1536</v>
      </c>
      <c r="S11" s="131">
        <v>1476</v>
      </c>
      <c r="T11" s="131">
        <f>SUM(S11-R11)</f>
        <v>-60</v>
      </c>
      <c r="U11" s="45"/>
      <c r="V11" s="121">
        <v>1677</v>
      </c>
      <c r="W11" s="103">
        <v>1645</v>
      </c>
      <c r="X11" s="103">
        <f>SUM(W11-V11)</f>
        <v>-32</v>
      </c>
      <c r="Y11" s="73"/>
      <c r="Z11" s="57">
        <f t="shared" si="5"/>
        <v>-92</v>
      </c>
      <c r="AB11" s="57">
        <f>RANK(P11,$P$6:$P$30,1)+COUNTIF($P$6:P11,P11)-1</f>
        <v>14</v>
      </c>
      <c r="AC11" s="60" t="str">
        <f>INDEX(C6:P30,MATCH(20,AB6:AB30,0),1)</f>
        <v>ropczycko-sędziszowski</v>
      </c>
      <c r="AD11" s="51">
        <f>INDEX(C6:P30,MATCH(20,AB6:AB30,0),14)</f>
        <v>18</v>
      </c>
      <c r="AE11" s="110"/>
      <c r="AF11" s="57">
        <f>RANK(Z11,$Z$6:$Z$30,1)+COUNTIF($Z$6:Z11,Z11)-1</f>
        <v>17</v>
      </c>
      <c r="AG11" s="60" t="str">
        <f>INDEX(C6:Z30,MATCH(20,AF6:AF30,0),1)</f>
        <v>dębicki</v>
      </c>
      <c r="AH11" s="51">
        <f>INDEX(C6:Z30,MATCH(20,AF6:AF30,0),24)</f>
        <v>-7</v>
      </c>
      <c r="AI11" s="74"/>
    </row>
    <row r="12" spans="2:35" x14ac:dyDescent="0.2">
      <c r="B12" s="113">
        <v>7</v>
      </c>
      <c r="C12" s="77" t="s">
        <v>6</v>
      </c>
      <c r="D12" s="139">
        <v>848</v>
      </c>
      <c r="E12" s="140">
        <v>781</v>
      </c>
      <c r="F12" s="98">
        <f t="shared" si="0"/>
        <v>67</v>
      </c>
      <c r="G12" s="68"/>
      <c r="H12" s="52">
        <v>73</v>
      </c>
      <c r="I12" s="51">
        <v>132</v>
      </c>
      <c r="J12" s="63">
        <f t="shared" si="1"/>
        <v>-59</v>
      </c>
      <c r="K12" s="71"/>
      <c r="L12" s="52">
        <v>61</v>
      </c>
      <c r="M12" s="51">
        <v>89</v>
      </c>
      <c r="N12" s="63">
        <f t="shared" si="2"/>
        <v>-28</v>
      </c>
      <c r="O12" s="71"/>
      <c r="P12" s="57">
        <f>F12+J12+N12</f>
        <v>-20</v>
      </c>
      <c r="Q12" s="73"/>
      <c r="R12" s="121">
        <v>2356</v>
      </c>
      <c r="S12" s="131">
        <v>2341</v>
      </c>
      <c r="T12" s="67">
        <f t="shared" si="3"/>
        <v>-15</v>
      </c>
      <c r="U12" s="45"/>
      <c r="V12" s="121">
        <v>2624</v>
      </c>
      <c r="W12" s="103">
        <v>2495</v>
      </c>
      <c r="X12" s="63">
        <f t="shared" si="4"/>
        <v>-129</v>
      </c>
      <c r="Y12" s="74"/>
      <c r="Z12" s="57">
        <f>SUM(T12+X12)</f>
        <v>-144</v>
      </c>
      <c r="AB12" s="57">
        <f>RANK(P12,$P$6:$P$30,1)+COUNTIF($P$6:P12,P12)-1</f>
        <v>17</v>
      </c>
      <c r="AC12" s="60" t="str">
        <f>INDEX(C6:P30,MATCH(19,AB6:AB30,0),1)</f>
        <v>stalowowolski</v>
      </c>
      <c r="AD12" s="51">
        <f>INDEX(C6:P30,MATCH(19,AB6:AB30,0),14)</f>
        <v>-1</v>
      </c>
      <c r="AE12" s="110"/>
      <c r="AF12" s="57">
        <f>RANK(Z12,$Z$6:$Z$30,1)+COUNTIF($Z$6:Z12,Z12)-1</f>
        <v>14</v>
      </c>
      <c r="AG12" s="60" t="str">
        <f>INDEX(C6:Z30,MATCH(19,AF6:AF30,0),1)</f>
        <v>tarnobrzeski</v>
      </c>
      <c r="AH12" s="51">
        <f>INDEX(C6:Z30,MATCH(19,AF6:AF30,0),24)</f>
        <v>-60</v>
      </c>
      <c r="AI12" s="74"/>
    </row>
    <row r="13" spans="2:35" x14ac:dyDescent="0.2">
      <c r="B13" s="113">
        <v>8</v>
      </c>
      <c r="C13" s="77" t="s">
        <v>7</v>
      </c>
      <c r="D13" s="139">
        <v>451</v>
      </c>
      <c r="E13" s="140">
        <v>453</v>
      </c>
      <c r="F13" s="98">
        <f t="shared" si="0"/>
        <v>-2</v>
      </c>
      <c r="G13" s="68"/>
      <c r="H13" s="52">
        <v>52</v>
      </c>
      <c r="I13" s="51">
        <v>117</v>
      </c>
      <c r="J13" s="63">
        <f t="shared" si="1"/>
        <v>-65</v>
      </c>
      <c r="K13" s="71"/>
      <c r="L13" s="52">
        <v>32</v>
      </c>
      <c r="M13" s="51">
        <v>56</v>
      </c>
      <c r="N13" s="63">
        <f t="shared" si="2"/>
        <v>-24</v>
      </c>
      <c r="O13" s="71"/>
      <c r="P13" s="57">
        <f t="shared" si="6"/>
        <v>-91</v>
      </c>
      <c r="Q13" s="73"/>
      <c r="R13" s="121">
        <v>1726</v>
      </c>
      <c r="S13" s="131">
        <v>1531</v>
      </c>
      <c r="T13" s="51">
        <f t="shared" si="3"/>
        <v>-195</v>
      </c>
      <c r="U13" s="45"/>
      <c r="V13" s="121">
        <v>1754</v>
      </c>
      <c r="W13" s="103">
        <v>1590</v>
      </c>
      <c r="X13" s="63">
        <f t="shared" si="4"/>
        <v>-164</v>
      </c>
      <c r="Y13" s="74"/>
      <c r="Z13" s="57">
        <f t="shared" si="5"/>
        <v>-359</v>
      </c>
      <c r="AB13" s="57">
        <f>RANK(P13,$P$6:$P$30,1)+COUNTIF($P$6:P13,P13)-1</f>
        <v>12</v>
      </c>
      <c r="AC13" s="60" t="str">
        <f>INDEX(C6:P30,MATCH(18,AB6:AB30,0),1)</f>
        <v>dębicki</v>
      </c>
      <c r="AD13" s="51">
        <f>INDEX(C6:P30,MATCH(18,AB6:AB30,0),14)</f>
        <v>-11</v>
      </c>
      <c r="AE13" s="110"/>
      <c r="AF13" s="57">
        <f>RANK(Z13,$Z$6:$Z$30,1)+COUNTIF($Z$6:Z13,Z13)-1</f>
        <v>3</v>
      </c>
      <c r="AG13" s="60" t="str">
        <f>INDEX(C6:Z30,MATCH(18,AF6:AF30,0),1)</f>
        <v>sanocki</v>
      </c>
      <c r="AH13" s="51">
        <f>INDEX(C6:Z30,MATCH(18,AF6:AF30,0),24)</f>
        <v>-71</v>
      </c>
      <c r="AI13" s="74"/>
    </row>
    <row r="14" spans="2:35" x14ac:dyDescent="0.2">
      <c r="B14" s="113">
        <v>9</v>
      </c>
      <c r="C14" s="77" t="s">
        <v>8</v>
      </c>
      <c r="D14" s="139">
        <v>666</v>
      </c>
      <c r="E14" s="140">
        <v>602</v>
      </c>
      <c r="F14" s="98">
        <f t="shared" si="0"/>
        <v>64</v>
      </c>
      <c r="G14" s="68"/>
      <c r="H14" s="52">
        <v>76</v>
      </c>
      <c r="I14" s="51">
        <v>189</v>
      </c>
      <c r="J14" s="63">
        <f t="shared" si="1"/>
        <v>-113</v>
      </c>
      <c r="K14" s="71"/>
      <c r="L14" s="52">
        <v>161</v>
      </c>
      <c r="M14" s="51">
        <v>309</v>
      </c>
      <c r="N14" s="63">
        <f t="shared" si="2"/>
        <v>-148</v>
      </c>
      <c r="O14" s="71"/>
      <c r="P14" s="57">
        <f t="shared" si="6"/>
        <v>-197</v>
      </c>
      <c r="Q14" s="73"/>
      <c r="R14" s="121">
        <v>2975</v>
      </c>
      <c r="S14" s="131">
        <v>2806</v>
      </c>
      <c r="T14" s="51">
        <f t="shared" si="3"/>
        <v>-169</v>
      </c>
      <c r="U14" s="45"/>
      <c r="V14" s="121">
        <v>3001</v>
      </c>
      <c r="W14" s="103">
        <v>2928</v>
      </c>
      <c r="X14" s="63">
        <f t="shared" si="4"/>
        <v>-73</v>
      </c>
      <c r="Y14" s="74"/>
      <c r="Z14" s="57">
        <f t="shared" si="5"/>
        <v>-242</v>
      </c>
      <c r="AB14" s="57">
        <f>RANK(P14,$P$6:$P$30,1)+COUNTIF($P$6:P14,P14)-1</f>
        <v>5</v>
      </c>
      <c r="AC14" s="60" t="str">
        <f>INDEX(C6:P30,MATCH(17,AB6:AB30,0),1)</f>
        <v>krośnieński</v>
      </c>
      <c r="AD14" s="51">
        <f>INDEX(C6:P30,MATCH(17,AB6:AB30,0),14)</f>
        <v>-20</v>
      </c>
      <c r="AE14" s="110"/>
      <c r="AF14" s="148">
        <f>RANK(Z14,$Z$6:$Z$30,1)+COUNTIF($Z$6:Z14,Z14)-1</f>
        <v>7</v>
      </c>
      <c r="AG14" s="60" t="str">
        <f>INDEX(C6:Z30,MATCH(17,AF6:AF30,0),1)</f>
        <v>kolbuszowski</v>
      </c>
      <c r="AH14" s="51">
        <f>INDEX(C6:Z30,MATCH(17,AF6:AF30,0),24)</f>
        <v>-92</v>
      </c>
      <c r="AI14" s="74"/>
    </row>
    <row r="15" spans="2:35" x14ac:dyDescent="0.2">
      <c r="B15" s="113">
        <v>10</v>
      </c>
      <c r="C15" s="77" t="s">
        <v>9</v>
      </c>
      <c r="D15" s="139">
        <v>557</v>
      </c>
      <c r="E15" s="140">
        <v>492</v>
      </c>
      <c r="F15" s="98">
        <f t="shared" si="0"/>
        <v>65</v>
      </c>
      <c r="G15" s="68"/>
      <c r="H15" s="52">
        <v>93</v>
      </c>
      <c r="I15" s="51">
        <v>192</v>
      </c>
      <c r="J15" s="63">
        <f t="shared" si="1"/>
        <v>-99</v>
      </c>
      <c r="K15" s="71"/>
      <c r="L15" s="52">
        <v>95</v>
      </c>
      <c r="M15" s="51">
        <v>150</v>
      </c>
      <c r="N15" s="63">
        <f t="shared" si="2"/>
        <v>-55</v>
      </c>
      <c r="O15" s="71"/>
      <c r="P15" s="57">
        <f t="shared" si="6"/>
        <v>-89</v>
      </c>
      <c r="Q15" s="73"/>
      <c r="R15" s="121">
        <v>1704</v>
      </c>
      <c r="S15" s="131">
        <v>1499</v>
      </c>
      <c r="T15" s="51">
        <f t="shared" si="3"/>
        <v>-205</v>
      </c>
      <c r="U15" s="45"/>
      <c r="V15" s="121">
        <v>1788</v>
      </c>
      <c r="W15" s="103">
        <v>1676</v>
      </c>
      <c r="X15" s="63">
        <f t="shared" si="4"/>
        <v>-112</v>
      </c>
      <c r="Y15" s="74"/>
      <c r="Z15" s="57">
        <f t="shared" si="5"/>
        <v>-317</v>
      </c>
      <c r="AB15" s="57">
        <f>RANK(P15,$P$6:$P$30,1)+COUNTIF($P$6:P15,P15)-1</f>
        <v>13</v>
      </c>
      <c r="AC15" s="60" t="str">
        <f>INDEX(C6:P30,MATCH(16,AB6:AB30,0),1)</f>
        <v>Przemyśl</v>
      </c>
      <c r="AD15" s="51">
        <f>INDEX(C6:P30,MATCH(16,AB6:AB30,0),14)</f>
        <v>-23</v>
      </c>
      <c r="AE15" s="110"/>
      <c r="AF15" s="57">
        <f>RANK(Z15,$Z$6:$Z$30,1)+COUNTIF($Z$6:Z15,Z15)-1</f>
        <v>4</v>
      </c>
      <c r="AG15" s="60" t="str">
        <f>INDEX(C6:Z30,MATCH(16,AF6:AF30,0),1)</f>
        <v>niżański</v>
      </c>
      <c r="AH15" s="51">
        <f>INDEX(C6:Z30,MATCH(16,AF6:AF30,0),24)</f>
        <v>-103</v>
      </c>
      <c r="AI15" s="74"/>
    </row>
    <row r="16" spans="2:35" x14ac:dyDescent="0.2">
      <c r="B16" s="113">
        <v>11</v>
      </c>
      <c r="C16" s="77" t="s">
        <v>10</v>
      </c>
      <c r="D16" s="139">
        <v>868</v>
      </c>
      <c r="E16" s="140">
        <v>827</v>
      </c>
      <c r="F16" s="98">
        <f t="shared" si="0"/>
        <v>41</v>
      </c>
      <c r="G16" s="68"/>
      <c r="H16" s="52">
        <v>77</v>
      </c>
      <c r="I16" s="51">
        <v>234</v>
      </c>
      <c r="J16" s="63">
        <f t="shared" si="1"/>
        <v>-157</v>
      </c>
      <c r="K16" s="71"/>
      <c r="L16" s="52">
        <v>57</v>
      </c>
      <c r="M16" s="51">
        <v>124</v>
      </c>
      <c r="N16" s="63">
        <f t="shared" si="2"/>
        <v>-67</v>
      </c>
      <c r="O16" s="71"/>
      <c r="P16" s="57">
        <f t="shared" si="6"/>
        <v>-183</v>
      </c>
      <c r="Q16" s="73"/>
      <c r="R16" s="121">
        <v>2519</v>
      </c>
      <c r="S16" s="131">
        <v>2381</v>
      </c>
      <c r="T16" s="51">
        <f t="shared" si="3"/>
        <v>-138</v>
      </c>
      <c r="U16" s="45"/>
      <c r="V16" s="121">
        <v>2629</v>
      </c>
      <c r="W16" s="103">
        <v>2637</v>
      </c>
      <c r="X16" s="63">
        <f t="shared" si="4"/>
        <v>8</v>
      </c>
      <c r="Y16" s="74"/>
      <c r="Z16" s="57">
        <f t="shared" si="5"/>
        <v>-130</v>
      </c>
      <c r="AB16" s="57">
        <f>RANK(P16,$P$6:$P$30,1)+COUNTIF($P$6:P16,P16)-1</f>
        <v>7</v>
      </c>
      <c r="AC16" s="60" t="str">
        <f>INDEX(C6:P30,MATCH(15,AB6:AB30,0),1)</f>
        <v>przemyski</v>
      </c>
      <c r="AD16" s="51">
        <f>INDEX(C6:P30,MATCH(15,AB6:AB30,0),14)</f>
        <v>-45</v>
      </c>
      <c r="AE16" s="110"/>
      <c r="AF16" s="57">
        <f>RANK(Z16,$Z$6:$Z$30,1)+COUNTIF($Z$6:Z16,Z16)-1</f>
        <v>15</v>
      </c>
      <c r="AG16" s="60" t="str">
        <f>INDEX(C6:Z30,MATCH(15,AF6:AF30,0),1)</f>
        <v>łańcucki</v>
      </c>
      <c r="AH16" s="51">
        <f>INDEX(C6:Z30,MATCH(15,AF6:AF30,0),24)</f>
        <v>-130</v>
      </c>
      <c r="AI16" s="74"/>
    </row>
    <row r="17" spans="2:35" x14ac:dyDescent="0.2">
      <c r="B17" s="113">
        <v>12</v>
      </c>
      <c r="C17" s="77" t="s">
        <v>11</v>
      </c>
      <c r="D17" s="139">
        <v>1330</v>
      </c>
      <c r="E17" s="140">
        <v>1089</v>
      </c>
      <c r="F17" s="98">
        <f t="shared" si="0"/>
        <v>241</v>
      </c>
      <c r="G17" s="68"/>
      <c r="H17" s="52">
        <v>164</v>
      </c>
      <c r="I17" s="51">
        <v>227</v>
      </c>
      <c r="J17" s="63">
        <f t="shared" si="1"/>
        <v>-63</v>
      </c>
      <c r="K17" s="71"/>
      <c r="L17" s="52">
        <v>93</v>
      </c>
      <c r="M17" s="51">
        <v>166</v>
      </c>
      <c r="N17" s="63">
        <f t="shared" si="2"/>
        <v>-73</v>
      </c>
      <c r="O17" s="71"/>
      <c r="P17" s="57">
        <f>F17+J17+N17</f>
        <v>105</v>
      </c>
      <c r="Q17" s="73"/>
      <c r="R17" s="121">
        <v>3075</v>
      </c>
      <c r="S17" s="131">
        <v>2998</v>
      </c>
      <c r="T17" s="51">
        <f t="shared" si="3"/>
        <v>-77</v>
      </c>
      <c r="U17" s="45"/>
      <c r="V17" s="121">
        <v>3502</v>
      </c>
      <c r="W17" s="103">
        <v>3396</v>
      </c>
      <c r="X17" s="63">
        <f t="shared" si="4"/>
        <v>-106</v>
      </c>
      <c r="Y17" s="74"/>
      <c r="Z17" s="57">
        <f>SUM(T17+X17)</f>
        <v>-183</v>
      </c>
      <c r="AB17" s="57">
        <f>RANK(P17,$P$6:$P$30,1)+COUNTIF($P$6:P17,P17)-1</f>
        <v>25</v>
      </c>
      <c r="AC17" s="60" t="str">
        <f>INDEX(C6:P30,MATCH(14,AB6:AB30,0),1)</f>
        <v>kolbuszowski</v>
      </c>
      <c r="AD17" s="51">
        <f>INDEX(C6:P30,MATCH(14,AB6:AB30,0),14)</f>
        <v>-47</v>
      </c>
      <c r="AE17" s="110"/>
      <c r="AF17" s="57">
        <f>RANK(Z17,$Z$6:$Z$30,1)+COUNTIF($Z$6:Z17,Z17)-1</f>
        <v>10</v>
      </c>
      <c r="AG17" s="60" t="str">
        <f>INDEX(C6:Z30,MATCH(14,AF6:AF30,0),1)</f>
        <v>krośnieński</v>
      </c>
      <c r="AH17" s="51">
        <f>INDEX(C6:Z30,MATCH(14,AF6:AF30,0),24)</f>
        <v>-144</v>
      </c>
      <c r="AI17" s="74"/>
    </row>
    <row r="18" spans="2:35" x14ac:dyDescent="0.2">
      <c r="B18" s="113">
        <v>13</v>
      </c>
      <c r="C18" s="77" t="s">
        <v>12</v>
      </c>
      <c r="D18" s="139">
        <v>678</v>
      </c>
      <c r="E18" s="140">
        <v>636</v>
      </c>
      <c r="F18" s="98">
        <f t="shared" si="0"/>
        <v>42</v>
      </c>
      <c r="G18" s="68"/>
      <c r="H18" s="52">
        <v>80</v>
      </c>
      <c r="I18" s="51">
        <v>236</v>
      </c>
      <c r="J18" s="63">
        <f t="shared" si="1"/>
        <v>-156</v>
      </c>
      <c r="K18" s="71"/>
      <c r="L18" s="52">
        <v>23</v>
      </c>
      <c r="M18" s="51">
        <v>125</v>
      </c>
      <c r="N18" s="63">
        <f t="shared" si="2"/>
        <v>-102</v>
      </c>
      <c r="O18" s="71"/>
      <c r="P18" s="57">
        <f t="shared" si="6"/>
        <v>-216</v>
      </c>
      <c r="Q18" s="73"/>
      <c r="R18" s="121">
        <v>2929</v>
      </c>
      <c r="S18" s="131">
        <v>2801</v>
      </c>
      <c r="T18" s="51">
        <f t="shared" si="3"/>
        <v>-128</v>
      </c>
      <c r="U18" s="45"/>
      <c r="V18" s="121">
        <v>2939</v>
      </c>
      <c r="W18" s="103">
        <v>2964</v>
      </c>
      <c r="X18" s="63">
        <f t="shared" si="4"/>
        <v>25</v>
      </c>
      <c r="Y18" s="74"/>
      <c r="Z18" s="57">
        <f t="shared" si="5"/>
        <v>-103</v>
      </c>
      <c r="AB18" s="57">
        <f>RANK(P18,$P$6:$P$30,1)+COUNTIF($P$6:P18,P18)-1</f>
        <v>2</v>
      </c>
      <c r="AC18" s="60" t="str">
        <f>INDEX(C6:P30,MATCH(13,AB6:AB30,0),1)</f>
        <v>lubaczowski</v>
      </c>
      <c r="AD18" s="51">
        <f>INDEX(C6:P30,MATCH(13,AB6:AB30,0),14)</f>
        <v>-89</v>
      </c>
      <c r="AE18" s="110"/>
      <c r="AF18" s="57">
        <f>RANK(Z18,$Z$6:$Z$30,1)+COUNTIF($Z$6:Z18,Z18)-1</f>
        <v>16</v>
      </c>
      <c r="AG18" s="150" t="str">
        <f>INDEX(C6:Z30,MATCH(13,AF6:AF30,0),1)</f>
        <v>jarosławski</v>
      </c>
      <c r="AH18" s="154">
        <f>INDEX(C6:Z30,MATCH(13,AF6:AF30,0),24)</f>
        <v>-156</v>
      </c>
      <c r="AI18" s="74"/>
    </row>
    <row r="19" spans="2:35" x14ac:dyDescent="0.2">
      <c r="B19" s="113">
        <v>14</v>
      </c>
      <c r="C19" s="77" t="s">
        <v>13</v>
      </c>
      <c r="D19" s="139">
        <v>750</v>
      </c>
      <c r="E19" s="140">
        <v>669</v>
      </c>
      <c r="F19" s="98">
        <f t="shared" si="0"/>
        <v>81</v>
      </c>
      <c r="G19" s="68"/>
      <c r="H19" s="52">
        <v>109</v>
      </c>
      <c r="I19" s="51">
        <v>212</v>
      </c>
      <c r="J19" s="63">
        <f t="shared" si="1"/>
        <v>-103</v>
      </c>
      <c r="K19" s="71"/>
      <c r="L19" s="52">
        <v>27</v>
      </c>
      <c r="M19" s="51">
        <v>50</v>
      </c>
      <c r="N19" s="63">
        <f t="shared" si="2"/>
        <v>-23</v>
      </c>
      <c r="O19" s="71"/>
      <c r="P19" s="57">
        <f t="shared" si="6"/>
        <v>-45</v>
      </c>
      <c r="Q19" s="73"/>
      <c r="R19" s="121">
        <v>2958</v>
      </c>
      <c r="S19" s="131">
        <v>2806</v>
      </c>
      <c r="T19" s="51">
        <f t="shared" si="3"/>
        <v>-152</v>
      </c>
      <c r="U19" s="45"/>
      <c r="V19" s="121">
        <v>3036</v>
      </c>
      <c r="W19" s="103">
        <v>3006</v>
      </c>
      <c r="X19" s="63">
        <f t="shared" si="4"/>
        <v>-30</v>
      </c>
      <c r="Y19" s="74"/>
      <c r="Z19" s="57">
        <f t="shared" si="5"/>
        <v>-182</v>
      </c>
      <c r="AB19" s="57">
        <f>RANK(P19,$P$6:$P$30,1)+COUNTIF($P$6:P19,P19)-1</f>
        <v>15</v>
      </c>
      <c r="AC19" s="60" t="str">
        <f>INDEX(C6:P30,MATCH(12,AB6:AB30,0),1)</f>
        <v>leski</v>
      </c>
      <c r="AD19" s="51">
        <f>INDEX(C6:P30,MATCH(12,AB6:AB30,0),14)</f>
        <v>-91</v>
      </c>
      <c r="AE19" s="110"/>
      <c r="AF19" s="57">
        <f>RANK(Z19,$Z$6:$Z$30,1)+COUNTIF($Z$6:Z19,Z19)-1</f>
        <v>11</v>
      </c>
      <c r="AG19" s="60" t="str">
        <f>INDEX(C6:Z30,MATCH(12,AF6:AF30,0),1)</f>
        <v>bieszczadzki</v>
      </c>
      <c r="AH19" s="51">
        <f>INDEX(C6:Z30,MATCH(12,AF6:AF30,0),24)</f>
        <v>-164</v>
      </c>
      <c r="AI19" s="74"/>
    </row>
    <row r="20" spans="2:35" x14ac:dyDescent="0.2">
      <c r="B20" s="113">
        <v>15</v>
      </c>
      <c r="C20" s="77" t="s">
        <v>14</v>
      </c>
      <c r="D20" s="139">
        <v>962</v>
      </c>
      <c r="E20" s="140">
        <v>881</v>
      </c>
      <c r="F20" s="98">
        <f t="shared" si="0"/>
        <v>81</v>
      </c>
      <c r="G20" s="68"/>
      <c r="H20" s="52">
        <v>95</v>
      </c>
      <c r="I20" s="51">
        <v>260</v>
      </c>
      <c r="J20" s="63">
        <f t="shared" si="1"/>
        <v>-165</v>
      </c>
      <c r="K20" s="71"/>
      <c r="L20" s="52">
        <v>124</v>
      </c>
      <c r="M20" s="51">
        <v>245</v>
      </c>
      <c r="N20" s="63">
        <f t="shared" si="2"/>
        <v>-121</v>
      </c>
      <c r="O20" s="71"/>
      <c r="P20" s="57">
        <f>F20+J20+N20</f>
        <v>-205</v>
      </c>
      <c r="Q20" s="73"/>
      <c r="R20" s="121">
        <v>3337</v>
      </c>
      <c r="S20" s="131">
        <v>3257</v>
      </c>
      <c r="T20" s="51">
        <f t="shared" si="3"/>
        <v>-80</v>
      </c>
      <c r="U20" s="45"/>
      <c r="V20" s="121">
        <v>3610</v>
      </c>
      <c r="W20" s="103">
        <v>3471</v>
      </c>
      <c r="X20" s="63">
        <f t="shared" si="4"/>
        <v>-139</v>
      </c>
      <c r="Y20" s="74"/>
      <c r="Z20" s="57">
        <f t="shared" si="5"/>
        <v>-219</v>
      </c>
      <c r="AB20" s="57">
        <f>RANK(P20,$P$6:$P$30,1)+COUNTIF($P$6:P20,P20)-1</f>
        <v>4</v>
      </c>
      <c r="AC20" s="60" t="str">
        <f>INDEX(C6:P30,MATCH(11,AB6:AB30,0),1)</f>
        <v>tarnobrzeski</v>
      </c>
      <c r="AD20" s="51">
        <f>INDEX(C6:P30,MATCH(11,AB6:AB30,0),14)</f>
        <v>-92</v>
      </c>
      <c r="AE20" s="110"/>
      <c r="AF20" s="57">
        <f>RANK(Z20,$Z$6:$Z$30,1)+COUNTIF($Z$6:Z20,Z20)-1</f>
        <v>8</v>
      </c>
      <c r="AG20" s="60" t="str">
        <f>INDEX(C6:Z30,MATCH(11,AF6:AF30,0),1)</f>
        <v>przemyski</v>
      </c>
      <c r="AH20" s="51">
        <f>INDEX(C6:Z30,MATCH(11,AF6:AF30,0),24)</f>
        <v>-182</v>
      </c>
      <c r="AI20" s="74"/>
    </row>
    <row r="21" spans="2:35" ht="12" customHeight="1" x14ac:dyDescent="0.2">
      <c r="B21" s="113">
        <v>16</v>
      </c>
      <c r="C21" s="77" t="s">
        <v>15</v>
      </c>
      <c r="D21" s="139">
        <v>913</v>
      </c>
      <c r="E21" s="140">
        <v>817</v>
      </c>
      <c r="F21" s="98">
        <f t="shared" si="0"/>
        <v>96</v>
      </c>
      <c r="G21" s="68"/>
      <c r="H21" s="52">
        <v>88</v>
      </c>
      <c r="I21" s="51">
        <v>144</v>
      </c>
      <c r="J21" s="63">
        <f t="shared" si="1"/>
        <v>-56</v>
      </c>
      <c r="K21" s="71"/>
      <c r="L21" s="52">
        <v>96</v>
      </c>
      <c r="M21" s="51">
        <v>118</v>
      </c>
      <c r="N21" s="63">
        <f t="shared" si="2"/>
        <v>-22</v>
      </c>
      <c r="O21" s="71"/>
      <c r="P21" s="57">
        <f t="shared" si="6"/>
        <v>18</v>
      </c>
      <c r="Q21" s="73"/>
      <c r="R21" s="121">
        <v>2673</v>
      </c>
      <c r="S21" s="131">
        <v>2608</v>
      </c>
      <c r="T21" s="51">
        <f t="shared" si="3"/>
        <v>-65</v>
      </c>
      <c r="U21" s="45"/>
      <c r="V21" s="121">
        <v>2919</v>
      </c>
      <c r="W21" s="103">
        <v>2784</v>
      </c>
      <c r="X21" s="63">
        <f t="shared" si="4"/>
        <v>-135</v>
      </c>
      <c r="Y21" s="74"/>
      <c r="Z21" s="57">
        <f t="shared" si="5"/>
        <v>-200</v>
      </c>
      <c r="AB21" s="57">
        <f>RANK(P21,$P$6:$P$30,1)+COUNTIF($P$6:P21,P21)-1</f>
        <v>20</v>
      </c>
      <c r="AC21" s="60" t="str">
        <f>INDEX(C6:P30,MATCH(10,AB6:AB30,0),1)</f>
        <v>jasielski</v>
      </c>
      <c r="AD21" s="51">
        <f>INDEX(C6:P30,MATCH(10,AB6:AB30,0),14)</f>
        <v>-94</v>
      </c>
      <c r="AE21" s="110"/>
      <c r="AF21" s="57">
        <f>RANK(Z21,$Z$6:$Z$30,1)+COUNTIF($Z$6:Z21,Z21)-1</f>
        <v>9</v>
      </c>
      <c r="AG21" s="60" t="str">
        <f>INDEX(C6:Z30,MATCH(10,AF6:AF30,0),1)</f>
        <v>mielecki</v>
      </c>
      <c r="AH21" s="51">
        <f>INDEX(C6:Z30,MATCH(10,AF6:AF30,0),24)</f>
        <v>-183</v>
      </c>
      <c r="AI21" s="74"/>
    </row>
    <row r="22" spans="2:35" x14ac:dyDescent="0.2">
      <c r="B22" s="113">
        <v>17</v>
      </c>
      <c r="C22" s="77" t="s">
        <v>16</v>
      </c>
      <c r="D22" s="139">
        <v>1475</v>
      </c>
      <c r="E22" s="140">
        <v>1247</v>
      </c>
      <c r="F22" s="98">
        <f t="shared" si="0"/>
        <v>228</v>
      </c>
      <c r="G22" s="68"/>
      <c r="H22" s="52">
        <v>145</v>
      </c>
      <c r="I22" s="51">
        <v>278</v>
      </c>
      <c r="J22" s="63">
        <f t="shared" si="1"/>
        <v>-133</v>
      </c>
      <c r="K22" s="71"/>
      <c r="L22" s="52">
        <v>59</v>
      </c>
      <c r="M22" s="51">
        <v>113</v>
      </c>
      <c r="N22" s="63">
        <f t="shared" si="2"/>
        <v>-54</v>
      </c>
      <c r="O22" s="71"/>
      <c r="P22" s="57">
        <f t="shared" si="6"/>
        <v>41</v>
      </c>
      <c r="Q22" s="73"/>
      <c r="R22" s="121">
        <v>4540</v>
      </c>
      <c r="S22" s="131">
        <v>4466</v>
      </c>
      <c r="T22" s="51">
        <f t="shared" si="3"/>
        <v>-74</v>
      </c>
      <c r="U22" s="45"/>
      <c r="V22" s="121">
        <v>4992</v>
      </c>
      <c r="W22" s="103">
        <v>4771</v>
      </c>
      <c r="X22" s="63">
        <f t="shared" si="4"/>
        <v>-221</v>
      </c>
      <c r="Y22" s="74"/>
      <c r="Z22" s="57">
        <f t="shared" si="5"/>
        <v>-295</v>
      </c>
      <c r="AB22" s="57">
        <f>RANK(P22,$P$6:$P$30,1)+COUNTIF($P$6:P22,P22)-1</f>
        <v>23</v>
      </c>
      <c r="AC22" s="60" t="str">
        <f>INDEX(C6:P30,MATCH(9,AB6:AB30,0),1)</f>
        <v>bieszczadzki</v>
      </c>
      <c r="AD22" s="51">
        <f>INDEX(C6:P30,MATCH(9,AB6:AB30,0),14)</f>
        <v>-107</v>
      </c>
      <c r="AE22" s="110"/>
      <c r="AF22" s="57">
        <f>RANK(Z22,$Z$6:$Z$30,1)+COUNTIF($Z$6:Z22,Z22)-1</f>
        <v>5</v>
      </c>
      <c r="AG22" s="149" t="str">
        <f>INDEX(C6:Z30,MATCH(9,AF6:AF30,0),1)</f>
        <v>ropczycko-sędziszowski</v>
      </c>
      <c r="AH22" s="51">
        <f>INDEX(C6:Z30,MATCH(9,AF6:AF30,0),24)</f>
        <v>-200</v>
      </c>
      <c r="AI22" s="74"/>
    </row>
    <row r="23" spans="2:35" x14ac:dyDescent="0.2">
      <c r="B23" s="113">
        <v>18</v>
      </c>
      <c r="C23" s="77" t="s">
        <v>17</v>
      </c>
      <c r="D23" s="139">
        <v>819</v>
      </c>
      <c r="E23" s="140">
        <v>878</v>
      </c>
      <c r="F23" s="98">
        <f t="shared" si="0"/>
        <v>-59</v>
      </c>
      <c r="G23" s="68"/>
      <c r="H23" s="52">
        <v>122</v>
      </c>
      <c r="I23" s="51">
        <v>199</v>
      </c>
      <c r="J23" s="63">
        <f t="shared" si="1"/>
        <v>-77</v>
      </c>
      <c r="K23" s="71"/>
      <c r="L23" s="52">
        <v>41</v>
      </c>
      <c r="M23" s="51">
        <v>57</v>
      </c>
      <c r="N23" s="63">
        <f t="shared" si="2"/>
        <v>-16</v>
      </c>
      <c r="O23" s="71"/>
      <c r="P23" s="57">
        <f t="shared" si="6"/>
        <v>-152</v>
      </c>
      <c r="Q23" s="73"/>
      <c r="R23" s="121">
        <v>2881</v>
      </c>
      <c r="S23" s="131">
        <v>2859</v>
      </c>
      <c r="T23" s="51">
        <f t="shared" si="3"/>
        <v>-22</v>
      </c>
      <c r="U23" s="45"/>
      <c r="V23" s="121">
        <v>3068</v>
      </c>
      <c r="W23" s="103">
        <v>3019</v>
      </c>
      <c r="X23" s="63">
        <f t="shared" si="4"/>
        <v>-49</v>
      </c>
      <c r="Y23" s="74"/>
      <c r="Z23" s="57">
        <f t="shared" si="5"/>
        <v>-71</v>
      </c>
      <c r="AB23" s="57">
        <f>RANK(P23,$P$6:$P$30,1)+COUNTIF($P$6:P23,P23)-1</f>
        <v>8</v>
      </c>
      <c r="AC23" s="60" t="str">
        <f>INDEX(C6:P30,MATCH(8,AB6:AB30,0),1)</f>
        <v>sanocki</v>
      </c>
      <c r="AD23" s="51">
        <f>INDEX(C6:P30,MATCH(8,AB6:AB30,0),14)</f>
        <v>-152</v>
      </c>
      <c r="AE23" s="110"/>
      <c r="AF23" s="57">
        <f>RANK(Z23,$Z$6:$Z$30,1)+COUNTIF($Z$6:Z23,Z23)-1</f>
        <v>18</v>
      </c>
      <c r="AG23" s="60" t="str">
        <f>INDEX(C6:Z30,MATCH(8,AF6:AF30,0),1)</f>
        <v>przeworski</v>
      </c>
      <c r="AH23" s="51">
        <f>INDEX(C6:Z30,MATCH(8,AF6:AF30,0),24)</f>
        <v>-219</v>
      </c>
      <c r="AI23" s="74"/>
    </row>
    <row r="24" spans="2:35" x14ac:dyDescent="0.2">
      <c r="B24" s="113">
        <v>19</v>
      </c>
      <c r="C24" s="77" t="s">
        <v>18</v>
      </c>
      <c r="D24" s="139">
        <v>823</v>
      </c>
      <c r="E24" s="140">
        <v>687</v>
      </c>
      <c r="F24" s="98">
        <f t="shared" si="0"/>
        <v>136</v>
      </c>
      <c r="G24" s="68"/>
      <c r="H24" s="52">
        <v>91</v>
      </c>
      <c r="I24" s="51">
        <v>160</v>
      </c>
      <c r="J24" s="63">
        <f t="shared" si="1"/>
        <v>-69</v>
      </c>
      <c r="K24" s="71"/>
      <c r="L24" s="52">
        <v>72</v>
      </c>
      <c r="M24" s="51">
        <v>140</v>
      </c>
      <c r="N24" s="63">
        <f>L24-M24</f>
        <v>-68</v>
      </c>
      <c r="O24" s="71"/>
      <c r="P24" s="57">
        <f t="shared" si="6"/>
        <v>-1</v>
      </c>
      <c r="Q24" s="73"/>
      <c r="R24" s="121">
        <v>2098</v>
      </c>
      <c r="S24" s="131">
        <v>2174</v>
      </c>
      <c r="T24" s="51">
        <f t="shared" si="3"/>
        <v>76</v>
      </c>
      <c r="U24" s="45"/>
      <c r="V24" s="121">
        <v>2445</v>
      </c>
      <c r="W24" s="103">
        <v>2404</v>
      </c>
      <c r="X24" s="63">
        <f t="shared" si="4"/>
        <v>-41</v>
      </c>
      <c r="Y24" s="74"/>
      <c r="Z24" s="57">
        <f t="shared" si="5"/>
        <v>35</v>
      </c>
      <c r="AB24" s="57">
        <f>RANK(P24,$P$6:$P$30,1)+COUNTIF($P$6:P24,P24)-1</f>
        <v>19</v>
      </c>
      <c r="AC24" s="60" t="str">
        <f>INDEX(C6:P30,MATCH(7,AB6:AB30,0),1)</f>
        <v>łańcucki</v>
      </c>
      <c r="AD24" s="51">
        <f>INDEX(C6:P30,MATCH(7,AB6:AB30,0),14)</f>
        <v>-183</v>
      </c>
      <c r="AE24" s="110"/>
      <c r="AF24" s="57">
        <f>RANK(Z24,$Z$6:$Z$30,1)+COUNTIF($Z$6:Z24,Z24)-1</f>
        <v>22</v>
      </c>
      <c r="AG24" s="60" t="str">
        <f>INDEX(C6:Z30,MATCH(7,AF6:AF30,0),1)</f>
        <v>leżajski</v>
      </c>
      <c r="AH24" s="51">
        <f>INDEX(C6:Z30,MATCH(7,AF6:AF30,0),24)</f>
        <v>-242</v>
      </c>
      <c r="AI24" s="74"/>
    </row>
    <row r="25" spans="2:35" x14ac:dyDescent="0.2">
      <c r="B25" s="113">
        <v>20</v>
      </c>
      <c r="C25" s="77" t="s">
        <v>19</v>
      </c>
      <c r="D25" s="139">
        <v>759</v>
      </c>
      <c r="E25" s="140">
        <v>697</v>
      </c>
      <c r="F25" s="98">
        <f t="shared" si="0"/>
        <v>62</v>
      </c>
      <c r="G25" s="68"/>
      <c r="H25" s="52">
        <v>158</v>
      </c>
      <c r="I25" s="51">
        <v>266</v>
      </c>
      <c r="J25" s="63">
        <f t="shared" si="1"/>
        <v>-108</v>
      </c>
      <c r="K25" s="71"/>
      <c r="L25" s="52">
        <v>119</v>
      </c>
      <c r="M25" s="51">
        <v>259</v>
      </c>
      <c r="N25" s="63">
        <f t="shared" si="2"/>
        <v>-140</v>
      </c>
      <c r="O25" s="71"/>
      <c r="P25" s="57">
        <f t="shared" si="6"/>
        <v>-186</v>
      </c>
      <c r="Q25" s="73"/>
      <c r="R25" s="121">
        <v>3113</v>
      </c>
      <c r="S25" s="131">
        <v>2917</v>
      </c>
      <c r="T25" s="51">
        <f t="shared" si="3"/>
        <v>-196</v>
      </c>
      <c r="U25" s="45"/>
      <c r="V25" s="121">
        <v>3182</v>
      </c>
      <c r="W25" s="103">
        <v>3008</v>
      </c>
      <c r="X25" s="63">
        <f t="shared" si="4"/>
        <v>-174</v>
      </c>
      <c r="Y25" s="74"/>
      <c r="Z25" s="57">
        <f t="shared" si="5"/>
        <v>-370</v>
      </c>
      <c r="AB25" s="57">
        <f>RANK(P25,$P$6:$P$30,1)+COUNTIF($P$6:P25,P25)-1</f>
        <v>6</v>
      </c>
      <c r="AC25" s="60" t="str">
        <f>INDEX(C6:P30,MATCH(6,AB6:AB30,0),1)</f>
        <v>strzyżowski</v>
      </c>
      <c r="AD25" s="51">
        <f>INDEX(C6:P30,MATCH(6,AB6:AB30,0),14)</f>
        <v>-186</v>
      </c>
      <c r="AE25" s="110"/>
      <c r="AF25" s="57">
        <f>RANK(Z25,$Z$6:$Z$30,1)+COUNTIF($Z$6:Z25,Z25)-1</f>
        <v>2</v>
      </c>
      <c r="AG25" s="159" t="str">
        <f>INDEX(C6:Z30,MATCH(6,AF6:AF30,0),1)</f>
        <v>jasielski</v>
      </c>
      <c r="AH25" s="51">
        <f>INDEX(C6:Z30,MATCH(6,AF6:AF30,0),24)</f>
        <v>-276</v>
      </c>
      <c r="AI25" s="74"/>
    </row>
    <row r="26" spans="2:35" ht="12" thickBot="1" x14ac:dyDescent="0.25">
      <c r="B26" s="113">
        <v>21</v>
      </c>
      <c r="C26" s="78" t="s">
        <v>45</v>
      </c>
      <c r="D26" s="141">
        <v>433</v>
      </c>
      <c r="E26" s="142">
        <v>411</v>
      </c>
      <c r="F26" s="99">
        <f t="shared" si="0"/>
        <v>22</v>
      </c>
      <c r="G26" s="68"/>
      <c r="H26" s="55">
        <v>64</v>
      </c>
      <c r="I26" s="53">
        <v>151</v>
      </c>
      <c r="J26" s="65">
        <f t="shared" si="1"/>
        <v>-87</v>
      </c>
      <c r="K26" s="71"/>
      <c r="L26" s="55">
        <v>28</v>
      </c>
      <c r="M26" s="53">
        <v>55</v>
      </c>
      <c r="N26" s="65">
        <f t="shared" si="2"/>
        <v>-27</v>
      </c>
      <c r="O26" s="71"/>
      <c r="P26" s="81">
        <f t="shared" si="6"/>
        <v>-92</v>
      </c>
      <c r="Q26" s="73"/>
      <c r="R26" s="122">
        <v>1243</v>
      </c>
      <c r="S26" s="132">
        <v>1215</v>
      </c>
      <c r="T26" s="54">
        <f t="shared" si="3"/>
        <v>-28</v>
      </c>
      <c r="U26" s="45"/>
      <c r="V26" s="122">
        <v>1422</v>
      </c>
      <c r="W26" s="105">
        <v>1390</v>
      </c>
      <c r="X26" s="64">
        <f t="shared" si="4"/>
        <v>-32</v>
      </c>
      <c r="Y26" s="74"/>
      <c r="Z26" s="81">
        <f t="shared" si="5"/>
        <v>-60</v>
      </c>
      <c r="AB26" s="108">
        <f>RANK(P26,$P$6:$P$30,1)+COUNTIF($P$6:P26,P26)-1</f>
        <v>11</v>
      </c>
      <c r="AC26" s="82" t="str">
        <f>INDEX(C6:P30,MATCH(5,AB6:AB30,0),1)</f>
        <v>leżajski</v>
      </c>
      <c r="AD26" s="54">
        <f>INDEX(C6:P30,MATCH(5,AB6:AB30,0),14)</f>
        <v>-197</v>
      </c>
      <c r="AE26" s="110"/>
      <c r="AF26" s="108">
        <f>RANK(Z26,$Z$6:$Z$30,1)+COUNTIF($Z$6:Z26,Z26)-1</f>
        <v>19</v>
      </c>
      <c r="AG26" s="152" t="str">
        <f>INDEX(C6:Z30,MATCH(5,AF6:AF30,0),1)</f>
        <v>rzeszowski</v>
      </c>
      <c r="AH26" s="153">
        <f>INDEX(C6:Z30,MATCH(5,AF6:AF30,0),24)</f>
        <v>-295</v>
      </c>
      <c r="AI26" s="74"/>
    </row>
    <row r="27" spans="2:35" x14ac:dyDescent="0.2">
      <c r="B27" s="113">
        <v>22</v>
      </c>
      <c r="C27" s="79" t="s">
        <v>21</v>
      </c>
      <c r="D27" s="139">
        <v>324</v>
      </c>
      <c r="E27" s="143">
        <v>260</v>
      </c>
      <c r="F27" s="100">
        <f t="shared" si="0"/>
        <v>64</v>
      </c>
      <c r="G27" s="69"/>
      <c r="H27" s="52">
        <v>19</v>
      </c>
      <c r="I27" s="51">
        <v>44</v>
      </c>
      <c r="J27" s="63">
        <f t="shared" si="1"/>
        <v>-25</v>
      </c>
      <c r="K27" s="71"/>
      <c r="L27" s="52">
        <v>23</v>
      </c>
      <c r="M27" s="51">
        <v>30</v>
      </c>
      <c r="N27" s="63">
        <f t="shared" si="2"/>
        <v>-7</v>
      </c>
      <c r="O27" s="71"/>
      <c r="P27" s="57">
        <f t="shared" si="6"/>
        <v>32</v>
      </c>
      <c r="Q27" s="73"/>
      <c r="R27" s="121">
        <v>814</v>
      </c>
      <c r="S27" s="131">
        <v>871</v>
      </c>
      <c r="T27" s="49">
        <f t="shared" si="3"/>
        <v>57</v>
      </c>
      <c r="U27" s="45"/>
      <c r="V27" s="121">
        <v>1024</v>
      </c>
      <c r="W27" s="103">
        <v>1017</v>
      </c>
      <c r="X27" s="102">
        <f t="shared" si="4"/>
        <v>-7</v>
      </c>
      <c r="Y27" s="73"/>
      <c r="Z27" s="57">
        <f t="shared" si="5"/>
        <v>50</v>
      </c>
      <c r="AB27" s="56">
        <f>RANK(P27,$P$6:$P$30,1)+COUNTIF($P$6:P27,P27)-1</f>
        <v>22</v>
      </c>
      <c r="AC27" s="59" t="str">
        <f>INDEX(C6:P30,MATCH(4,AB6:AB30,0),1)</f>
        <v>przeworski</v>
      </c>
      <c r="AD27" s="49">
        <f>INDEX(C6:P30,MATCH(4,AB6:AB30,0),14)</f>
        <v>-205</v>
      </c>
      <c r="AE27" s="110"/>
      <c r="AF27" s="56">
        <f>RANK(Z27,$Z$6:$Z$30,1)+COUNTIF($Z$6:Z27,Z27)-1</f>
        <v>23</v>
      </c>
      <c r="AG27" s="59" t="str">
        <f>INDEX(C6:Z30,MATCH(4,AF6:AF30,0),1)</f>
        <v>lubaczowski</v>
      </c>
      <c r="AH27" s="49">
        <f>INDEX(C6:Z30,MATCH(4,AF6:AF30,0),24)</f>
        <v>-317</v>
      </c>
      <c r="AI27" s="74"/>
    </row>
    <row r="28" spans="2:35" x14ac:dyDescent="0.2">
      <c r="B28" s="113">
        <v>23</v>
      </c>
      <c r="C28" s="79" t="s">
        <v>22</v>
      </c>
      <c r="D28" s="139">
        <v>521</v>
      </c>
      <c r="E28" s="143">
        <v>471</v>
      </c>
      <c r="F28" s="100">
        <f t="shared" si="0"/>
        <v>50</v>
      </c>
      <c r="G28" s="69"/>
      <c r="H28" s="52">
        <v>79</v>
      </c>
      <c r="I28" s="51">
        <v>142</v>
      </c>
      <c r="J28" s="63">
        <f t="shared" si="1"/>
        <v>-63</v>
      </c>
      <c r="K28" s="71"/>
      <c r="L28" s="52">
        <v>24</v>
      </c>
      <c r="M28" s="51">
        <v>34</v>
      </c>
      <c r="N28" s="63">
        <f t="shared" si="2"/>
        <v>-10</v>
      </c>
      <c r="O28" s="71"/>
      <c r="P28" s="57">
        <f t="shared" si="6"/>
        <v>-23</v>
      </c>
      <c r="Q28" s="73"/>
      <c r="R28" s="121">
        <v>2338</v>
      </c>
      <c r="S28" s="131">
        <v>2338</v>
      </c>
      <c r="T28" s="51">
        <f t="shared" si="3"/>
        <v>0</v>
      </c>
      <c r="U28" s="45"/>
      <c r="V28" s="121">
        <v>2445</v>
      </c>
      <c r="W28" s="103">
        <v>2568</v>
      </c>
      <c r="X28" s="63">
        <f t="shared" si="4"/>
        <v>123</v>
      </c>
      <c r="Y28" s="74"/>
      <c r="Z28" s="57">
        <f t="shared" si="5"/>
        <v>123</v>
      </c>
      <c r="AB28" s="57">
        <f>RANK(P28,$P$6:$P$30,1)+COUNTIF($P$6:P28,P28)-1</f>
        <v>16</v>
      </c>
      <c r="AC28" s="60" t="str">
        <f>INDEX(C6:P30,MATCH(3,AB6:AB30,0),1)</f>
        <v>brzozowski</v>
      </c>
      <c r="AD28" s="51">
        <f>INDEX(C6:P30,MATCH(3,AB6:AB30,0),14)</f>
        <v>-205</v>
      </c>
      <c r="AE28" s="110"/>
      <c r="AF28" s="57">
        <f>RANK(Z28,$Z$6:$Z$30,1)+COUNTIF($Z$6:Z28,Z28)-1</f>
        <v>24</v>
      </c>
      <c r="AG28" s="60" t="str">
        <f>INDEX(C6:Z30,MATCH(3,AF6:AF30,0),1)</f>
        <v>leski</v>
      </c>
      <c r="AH28" s="51">
        <f>INDEX(C6:Z30,MATCH(3,AF6:AF30,0),24)</f>
        <v>-359</v>
      </c>
      <c r="AI28" s="74"/>
    </row>
    <row r="29" spans="2:35" x14ac:dyDescent="0.2">
      <c r="B29" s="113">
        <v>24</v>
      </c>
      <c r="C29" s="79" t="s">
        <v>23</v>
      </c>
      <c r="D29" s="139">
        <v>1611</v>
      </c>
      <c r="E29" s="143">
        <v>1402</v>
      </c>
      <c r="F29" s="100">
        <f t="shared" si="0"/>
        <v>209</v>
      </c>
      <c r="G29" s="69"/>
      <c r="H29" s="52">
        <v>110</v>
      </c>
      <c r="I29" s="51">
        <v>237</v>
      </c>
      <c r="J29" s="63">
        <f t="shared" si="1"/>
        <v>-127</v>
      </c>
      <c r="K29" s="71"/>
      <c r="L29" s="52">
        <v>88</v>
      </c>
      <c r="M29" s="51">
        <v>120</v>
      </c>
      <c r="N29" s="63">
        <f t="shared" si="2"/>
        <v>-32</v>
      </c>
      <c r="O29" s="71"/>
      <c r="P29" s="57">
        <f t="shared" si="6"/>
        <v>50</v>
      </c>
      <c r="Q29" s="73"/>
      <c r="R29" s="121">
        <v>4957</v>
      </c>
      <c r="S29" s="131">
        <v>4981</v>
      </c>
      <c r="T29" s="51">
        <f t="shared" si="3"/>
        <v>24</v>
      </c>
      <c r="U29" s="45"/>
      <c r="V29" s="121">
        <v>5318</v>
      </c>
      <c r="W29" s="103">
        <v>5466</v>
      </c>
      <c r="X29" s="63">
        <f t="shared" si="4"/>
        <v>148</v>
      </c>
      <c r="Y29" s="74"/>
      <c r="Z29" s="57">
        <f t="shared" si="5"/>
        <v>172</v>
      </c>
      <c r="AB29" s="57">
        <f>RANK(P29,$P$6:$P$30,1)+COUNTIF($P$6:P29,P29)-1</f>
        <v>24</v>
      </c>
      <c r="AC29" s="159" t="str">
        <f>INDEX(C6:P30,MATCH(2,AB6:AB30,0),1)</f>
        <v>niżański</v>
      </c>
      <c r="AD29" s="160">
        <f>INDEX(C6:P30,MATCH(2,AB6:AB30,0),14)</f>
        <v>-216</v>
      </c>
      <c r="AE29" s="110"/>
      <c r="AF29" s="57">
        <f>RANK(Z29,$Z$6:$Z$30,1)+COUNTIF($Z$6:Z29,Z29)-1</f>
        <v>25</v>
      </c>
      <c r="AG29" s="60" t="str">
        <f>INDEX(C6:Z30,MATCH(2,AF6:AF30,0),1)</f>
        <v>strzyżowski</v>
      </c>
      <c r="AH29" s="51">
        <f>INDEX(C6:Z30,MATCH(2,AF6:AF30,0),24)</f>
        <v>-370</v>
      </c>
      <c r="AI29" s="74"/>
    </row>
    <row r="30" spans="2:35" ht="12" thickBot="1" x14ac:dyDescent="0.25">
      <c r="B30" s="113">
        <v>25</v>
      </c>
      <c r="C30" s="80" t="s">
        <v>24</v>
      </c>
      <c r="D30" s="141">
        <v>401</v>
      </c>
      <c r="E30" s="144">
        <v>295</v>
      </c>
      <c r="F30" s="101">
        <f t="shared" si="0"/>
        <v>106</v>
      </c>
      <c r="G30" s="69"/>
      <c r="H30" s="55">
        <v>44</v>
      </c>
      <c r="I30" s="53">
        <v>85</v>
      </c>
      <c r="J30" s="65">
        <f t="shared" si="1"/>
        <v>-41</v>
      </c>
      <c r="K30" s="71"/>
      <c r="L30" s="55">
        <v>29</v>
      </c>
      <c r="M30" s="53">
        <v>73</v>
      </c>
      <c r="N30" s="65">
        <f t="shared" si="2"/>
        <v>-44</v>
      </c>
      <c r="O30" s="71"/>
      <c r="P30" s="81">
        <f t="shared" si="6"/>
        <v>21</v>
      </c>
      <c r="Q30" s="73"/>
      <c r="R30" s="122">
        <v>999</v>
      </c>
      <c r="S30" s="132">
        <v>1010</v>
      </c>
      <c r="T30" s="53">
        <f t="shared" si="3"/>
        <v>11</v>
      </c>
      <c r="U30" s="45"/>
      <c r="V30" s="122">
        <v>1167</v>
      </c>
      <c r="W30" s="105">
        <v>1189</v>
      </c>
      <c r="X30" s="65">
        <f t="shared" si="4"/>
        <v>22</v>
      </c>
      <c r="Y30" s="74"/>
      <c r="Z30" s="81">
        <f t="shared" si="5"/>
        <v>33</v>
      </c>
      <c r="AB30" s="81">
        <f>RANK(P30,$P$6:$P$30,1)+COUNTIF($P$6:P30,P30)-1</f>
        <v>21</v>
      </c>
      <c r="AC30" s="161" t="str">
        <f>INDEX(C6:P30,MATCH(1,AB6:AB30,0),1)</f>
        <v>jarosławski</v>
      </c>
      <c r="AD30" s="162">
        <f>INDEX(C6:P30,MATCH(1,AB6:AB30,0),14)</f>
        <v>-409</v>
      </c>
      <c r="AE30" s="110"/>
      <c r="AF30" s="81">
        <f>RANK(Z30,$Z$6:$Z$30,1)+COUNTIF($Z$6:Z30,Z30)-1</f>
        <v>21</v>
      </c>
      <c r="AG30" s="61" t="str">
        <f>INDEX(C6:Z30,MATCH(1,AF6:AF30,0),1)</f>
        <v>brzozowski</v>
      </c>
      <c r="AH30" s="53">
        <f>INDEX(C6:Z30,MATCH(1,AF6:AF30,0),24)</f>
        <v>-542</v>
      </c>
      <c r="AI30" s="74"/>
    </row>
    <row r="31" spans="2:35" ht="12" thickBot="1" x14ac:dyDescent="0.25">
      <c r="C31" s="83" t="s">
        <v>46</v>
      </c>
      <c r="D31" s="145">
        <f>SUM(D6:D30)</f>
        <v>20063</v>
      </c>
      <c r="E31" s="145">
        <f>SUM(E6:E30)</f>
        <v>18184</v>
      </c>
      <c r="F31" s="88">
        <f t="shared" si="0"/>
        <v>1879</v>
      </c>
      <c r="G31" s="71"/>
      <c r="H31" s="85">
        <f t="shared" ref="H31:R31" si="7">SUM(H6:H30)</f>
        <v>2426</v>
      </c>
      <c r="I31" s="84">
        <f t="shared" si="7"/>
        <v>4910</v>
      </c>
      <c r="J31" s="88">
        <f t="shared" si="1"/>
        <v>-2484</v>
      </c>
      <c r="K31" s="71"/>
      <c r="L31" s="85">
        <f t="shared" si="7"/>
        <v>1603</v>
      </c>
      <c r="M31" s="84">
        <f>SUM(M6:M30)</f>
        <v>3104</v>
      </c>
      <c r="N31" s="88">
        <f t="shared" si="2"/>
        <v>-1501</v>
      </c>
      <c r="O31" s="71"/>
      <c r="P31" s="86">
        <f t="shared" si="7"/>
        <v>-2106</v>
      </c>
      <c r="Q31" s="74"/>
      <c r="R31" s="123">
        <f t="shared" si="7"/>
        <v>67336</v>
      </c>
      <c r="S31" s="145">
        <f>SUM(S6:S30)</f>
        <v>64974</v>
      </c>
      <c r="T31" s="87">
        <f>SUM(T6:T30)</f>
        <v>-2362</v>
      </c>
      <c r="U31" s="45"/>
      <c r="V31" s="123">
        <f>SUM(V6:V30)</f>
        <v>72059</v>
      </c>
      <c r="W31" s="106">
        <f>SUM(W6:W30)</f>
        <v>70722</v>
      </c>
      <c r="X31" s="106">
        <f>SUM(W31-V31)</f>
        <v>-1337</v>
      </c>
      <c r="Y31" s="73"/>
      <c r="Z31" s="86">
        <f t="shared" si="5"/>
        <v>-3699</v>
      </c>
      <c r="AB31" s="107"/>
      <c r="AC31" s="107"/>
      <c r="AD31" s="107"/>
      <c r="AE31" s="74"/>
      <c r="AF31" s="107"/>
      <c r="AG31" s="107"/>
      <c r="AH31" s="107"/>
      <c r="AI31" s="74"/>
    </row>
    <row r="32" spans="2:35" x14ac:dyDescent="0.2">
      <c r="Q32" s="75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7" t="s">
        <v>66</v>
      </c>
      <c r="W1" s="187"/>
      <c r="X1" s="187"/>
      <c r="Y1" s="157"/>
      <c r="Z1" s="187" t="s">
        <v>72</v>
      </c>
      <c r="AA1" s="187"/>
      <c r="AB1" s="187"/>
      <c r="AC1" s="157"/>
      <c r="AD1" s="156" t="s">
        <v>65</v>
      </c>
    </row>
    <row r="2" spans="2:36" ht="15" x14ac:dyDescent="0.2">
      <c r="C2" s="15"/>
      <c r="D2" s="16"/>
      <c r="W2" s="15"/>
      <c r="X2" s="16"/>
      <c r="Y2" s="16"/>
      <c r="Z2" s="16"/>
      <c r="AA2" s="16"/>
      <c r="AB2" s="16"/>
      <c r="AE2" s="15"/>
      <c r="AF2" s="16"/>
    </row>
    <row r="3" spans="2:36" ht="69" customHeight="1" x14ac:dyDescent="0.2">
      <c r="B3" s="38" t="s">
        <v>39</v>
      </c>
      <c r="C3" s="31" t="str">
        <f>T('1bzr.'!B2)</f>
        <v>powiaty</v>
      </c>
      <c r="D3" s="32" t="str">
        <f>T('1bzr.'!C2)</f>
        <v>liczba bezrobotnych ogółem stan na 31-05-'26 r.</v>
      </c>
      <c r="E3" s="33" t="str">
        <f>T('1bzr.'!D2)</f>
        <v>liczba bezrobotnych ogółem stan na 30-04-'26 r.</v>
      </c>
      <c r="F3" s="32" t="str">
        <f>T('1bzr.'!E2)</f>
        <v>wzrost/spadek do miesiąca poprzedniego</v>
      </c>
      <c r="G3" s="33" t="str">
        <f>T('1bzr.'!G2)</f>
        <v>liczba bezrobotnych ogółem stan na 31-05-'25 r.</v>
      </c>
      <c r="H3" s="32" t="str">
        <f>T('1bzr.'!H2)</f>
        <v>wzrost/spadek do analogicznego okresu ubr.</v>
      </c>
      <c r="V3" s="168" t="s">
        <v>39</v>
      </c>
      <c r="W3" s="169" t="str">
        <f>T('1bzr.'!B2)</f>
        <v>powiaty</v>
      </c>
      <c r="X3" s="170" t="str">
        <f>T('1bzr.'!E2)</f>
        <v>wzrost/spadek do miesiąca poprzedniego</v>
      </c>
      <c r="Y3" s="116"/>
      <c r="Z3" s="168" t="s">
        <v>39</v>
      </c>
      <c r="AA3" s="168" t="s">
        <v>27</v>
      </c>
      <c r="AB3" s="171" t="str">
        <f>MID(E3,35,10)</f>
        <v xml:space="preserve"> 30-04-'26</v>
      </c>
      <c r="AD3" s="176" t="s">
        <v>39</v>
      </c>
      <c r="AE3" s="177" t="str">
        <f>T('1bzr.'!B2)</f>
        <v>powiaty</v>
      </c>
      <c r="AF3" s="177" t="str">
        <f>T('1bzr.'!C2)</f>
        <v>liczba bezrobotnych ogółem stan na 31-05-'26 r.</v>
      </c>
      <c r="AH3" s="176" t="s">
        <v>39</v>
      </c>
      <c r="AI3" s="177" t="str">
        <f>T('1bzr.'!B2)</f>
        <v>powiaty</v>
      </c>
      <c r="AJ3" s="177" t="str">
        <f>T('1bzr.'!C2)</f>
        <v>liczba bezrobotnych ogółem stan na 31-05-'26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19">
        <f>INDEX('1bzr.'!B3:H28,MATCH(1,B4:B29,0),2)</f>
        <v>1017</v>
      </c>
      <c r="E4" s="37">
        <f>INDEX('1bzr.'!B3:H28,MATCH(1,B4:B29,0),3)</f>
        <v>1044</v>
      </c>
      <c r="F4" s="6">
        <f>INDEX('1bzr.'!B3:H28,MATCH(1,B4:B29,0),4)</f>
        <v>-27</v>
      </c>
      <c r="G4" s="37">
        <f>INDEX('1bzr.'!B3:H28,MATCH(1,B4:B29,0),6)</f>
        <v>871</v>
      </c>
      <c r="H4" s="6">
        <f>INDEX('1bzr.'!B3:H28,MATCH(1,B4:B29,0),7)</f>
        <v>146</v>
      </c>
      <c r="V4" s="6">
        <f>RANK('1bzr.'!E3,'1bzr.'!$E$3:'1bzr.'!$E$28,1)+COUNTIF('1bzr.'!$E$3:'1bzr.'!E3,'1bzr.'!E3)-1</f>
        <v>21</v>
      </c>
      <c r="W4" s="118" t="str">
        <f>INDEX('1bzr.'!B3:H28,MATCH(1,V4:V29,0),1)</f>
        <v>województwo</v>
      </c>
      <c r="X4" s="178">
        <f>INDEX('1bzr.'!E3:H28,MATCH(1,V4:V29,0),1)</f>
        <v>-1793</v>
      </c>
      <c r="Y4" s="167"/>
      <c r="Z4" s="172">
        <f>RANK('1bzr.'!F3,'1bzr.'!$F$3:'1bzr.'!$F$28,1)+COUNTIF('1bzr.'!$F$3:'1bzr.'!F3,'1bzr.'!F3)-1</f>
        <v>7</v>
      </c>
      <c r="AA4" s="155" t="str">
        <f>INDEX('1bzr.'!B3:H28,MATCH(1,Z4:Z29,0),1)</f>
        <v>leski</v>
      </c>
      <c r="AB4" s="8">
        <f>INDEX('1bzr.'!D3:H28,MATCH(1,Z4:Z29,0),3)</f>
        <v>-6.6901408450704221</v>
      </c>
      <c r="AC4" s="2"/>
      <c r="AD4" s="6">
        <f>RANK('1bzr.'!C3,'1bzr.'!$C$3:'1bzr.'!$C$28,1)+COUNTIF('1bzr.'!$C$3:'1bzr.'!C3,'1bzr.'!C3)-1</f>
        <v>2</v>
      </c>
      <c r="AE4" s="115" t="str">
        <f>INDEX('1bzr.'!B3:H28,MATCH(25,AD4:AD29,0),1)</f>
        <v>Rzeszów</v>
      </c>
      <c r="AF4" s="6">
        <f>INDEX('1bzr.'!B3:H28,MATCH(25,AD4:AD29,0),2)</f>
        <v>5466</v>
      </c>
      <c r="AH4" s="6">
        <f>RANK('1bzr.'!C3,'1bzr.'!$C$3:'1bzr.'!$C$28,1)+COUNTIF('1bzr.'!$C$3:'1bzr.'!C3,'1bzr.'!C3)-1</f>
        <v>2</v>
      </c>
      <c r="AI4" s="115" t="str">
        <f>INDEX('1bzr.'!B3:H28,MATCH(1,AH4:AH29,0),1)</f>
        <v>Krosno</v>
      </c>
      <c r="AJ4" s="6">
        <f>INDEX('1bzr.'!B3:L28,MATCH(1,AH4:AH29,0),2)</f>
        <v>1017</v>
      </c>
    </row>
    <row r="5" spans="2:36" x14ac:dyDescent="0.2">
      <c r="B5" s="6">
        <f>RANK('1bzr.'!C4,'1bzr.'!$C$3:'1bzr.'!$C$28,1)+COUNTIF('1bzr.'!$C$3:'1bzr.'!C4,'1bzr.'!C4)-1</f>
        <v>20</v>
      </c>
      <c r="C5" s="5" t="str">
        <f>INDEX('1bzr.'!B3:H28,MATCH(2,B4:B29,0),1)</f>
        <v>bieszczadzki</v>
      </c>
      <c r="D5" s="6">
        <f>INDEX('1bzr.'!B3:H28,MATCH(2,B4:B29,0),2)</f>
        <v>1086</v>
      </c>
      <c r="E5" s="37">
        <f>INDEX('1bzr.'!B3:H28,MATCH(2,B4:B29,0),3)</f>
        <v>1124</v>
      </c>
      <c r="F5" s="6">
        <f>INDEX('1bzr.'!B3:H28,MATCH(2,B4:B29,0),4)</f>
        <v>-38</v>
      </c>
      <c r="G5" s="37">
        <f>INDEX('1bzr.'!B3:H28,MATCH(2,B4:B29,0),6)</f>
        <v>992</v>
      </c>
      <c r="H5" s="6">
        <f>INDEX('1bzr.'!B3:H28,MATCH(2,B4:B29,0),7)</f>
        <v>94</v>
      </c>
      <c r="V5" s="6">
        <f>RANK('1bzr.'!E4,'1bzr.'!$E$3:'1bzr.'!$E$28,1)+COUNTIF('1bzr.'!$E$3:'1bzr.'!E4,'1bzr.'!E4)-1</f>
        <v>10</v>
      </c>
      <c r="W5" s="118" t="str">
        <f>INDEX('1bzr.'!B3:H28,MATCH(2,V4:V29,0),1)</f>
        <v>rzeszowski</v>
      </c>
      <c r="X5" s="6">
        <f>INDEX('1bzr.'!E3:H28,MATCH(2,V4:V29,0),1)</f>
        <v>-176</v>
      </c>
      <c r="Y5" s="166">
        <v>1</v>
      </c>
      <c r="Z5" s="172">
        <f>RANK('1bzr.'!F4,'1bzr.'!$F$3:'1bzr.'!$F$28,1)+COUNTIF('1bzr.'!$F$3:'1bzr.'!F4,'1bzr.'!F4)-1</f>
        <v>14</v>
      </c>
      <c r="AA5" s="155" t="str">
        <f>INDEX('1bzr.'!B3:G28,MATCH(2,Z4:Z29,0),1)</f>
        <v>stalowowolski</v>
      </c>
      <c r="AB5" s="8">
        <f>INDEX('1bzr.'!D3:H28,MATCH(2,Z4:Z29,0),3)</f>
        <v>-4.9426650850138394</v>
      </c>
      <c r="AC5" s="2"/>
      <c r="AD5" s="6">
        <f>RANK('1bzr.'!C4,'1bzr.'!$C$3:'1bzr.'!$C$28,1)+COUNTIF('1bzr.'!$C$3:'1bzr.'!C4,'1bzr.'!C4)-1</f>
        <v>20</v>
      </c>
      <c r="AE5" s="115" t="str">
        <f>INDEX('1bzr.'!B3:H28,MATCH(24,AD4:AD29,0),1)</f>
        <v>jasielski</v>
      </c>
      <c r="AF5" s="6">
        <f>INDEX('1bzr.'!B3:L28,MATCH(24,AD4:AD29,0),2)</f>
        <v>5207</v>
      </c>
      <c r="AH5" s="6">
        <f>RANK('1bzr.'!C4,'1bzr.'!$C$3:'1bzr.'!$C$28,1)+COUNTIF('1bzr.'!$C$3:'1bzr.'!C4,'1bzr.'!C4)-1</f>
        <v>20</v>
      </c>
      <c r="AI5" s="115" t="str">
        <f>INDEX('1bzr.'!B3:H28,MATCH(2,AH4:AH29,0),1)</f>
        <v>bieszczadzki</v>
      </c>
      <c r="AJ5" s="6">
        <f>INDEX('1bzr.'!B3:L28,MATCH(2,AH4:AH29,0),2)</f>
        <v>1086</v>
      </c>
    </row>
    <row r="6" spans="2:36" x14ac:dyDescent="0.2">
      <c r="B6" s="6">
        <f>RANK('1bzr.'!C5,'1bzr.'!$C$3:'1bzr.'!$C$28,1)+COUNTIF('1bzr.'!$C$3:'1bzr.'!C5,'1bzr.'!C5)-1</f>
        <v>13</v>
      </c>
      <c r="C6" s="5" t="str">
        <f>INDEX('1bzr.'!B3:H28,MATCH(3,B4:B29,0),1)</f>
        <v>Tarnobrzeg</v>
      </c>
      <c r="D6" s="6">
        <f>INDEX('1bzr.'!B3:H28,MATCH(3,B4:B29,0),2)</f>
        <v>1189</v>
      </c>
      <c r="E6" s="37">
        <f>INDEX('1bzr.'!B3:H28,MATCH(3,B4:B29,0),3)</f>
        <v>1210</v>
      </c>
      <c r="F6" s="6">
        <f>INDEX('1bzr.'!B3:H28,MATCH(3,B4:B29,0),4)</f>
        <v>-21</v>
      </c>
      <c r="G6" s="37">
        <f>INDEX('1bzr.'!B3:H28,MATCH(3,B4:B29,0),6)</f>
        <v>1010</v>
      </c>
      <c r="H6" s="6">
        <f>INDEX('1bzr.'!B3:H28,MATCH(3,B4:B29,0),7)</f>
        <v>179</v>
      </c>
      <c r="V6" s="6">
        <f>RANK('1bzr.'!E5,'1bzr.'!$E$3:'1bzr.'!$E$28,1)+COUNTIF('1bzr.'!$E$3:'1bzr.'!E5,'1bzr.'!E5)-1</f>
        <v>15</v>
      </c>
      <c r="W6" s="128" t="str">
        <f>INDEX('1bzr.'!B3:H28,MATCH(3,V4:V29,0),1)</f>
        <v>jarosławski</v>
      </c>
      <c r="X6" s="6">
        <f>INDEX('1bzr.'!E3:H28,MATCH(3,V4:V29,0),1)</f>
        <v>-175</v>
      </c>
      <c r="Y6" s="166">
        <v>2</v>
      </c>
      <c r="Z6" s="172">
        <f>RANK('1bzr.'!F5,'1bzr.'!$F$3:'1bzr.'!$F$28,1)+COUNTIF('1bzr.'!$F$3:'1bzr.'!F5,'1bzr.'!F5)-1</f>
        <v>18</v>
      </c>
      <c r="AA6" s="155" t="str">
        <f>INDEX('1bzr.'!B3:G28,MATCH(3,Z4:Z29,0),1)</f>
        <v>sanocki</v>
      </c>
      <c r="AB6" s="8">
        <f>INDEX('1bzr.'!D3:H28,MATCH(3,Z4:Z29,0),3)</f>
        <v>-3.7001594896331738</v>
      </c>
      <c r="AC6" s="2"/>
      <c r="AD6" s="6">
        <f>RANK('1bzr.'!C5,'1bzr.'!$C$3:'1bzr.'!$C$28,1)+COUNTIF('1bzr.'!$C$3:'1bzr.'!C5,'1bzr.'!C5)-1</f>
        <v>13</v>
      </c>
      <c r="AE6" s="115" t="str">
        <f>INDEX('1bzr.'!B3:H28,MATCH(23,AD4:AD29,0),1)</f>
        <v>rzeszowski</v>
      </c>
      <c r="AF6" s="6">
        <f>INDEX('1bzr.'!B3:L28,MATCH(23,AD4:AD29,0),2)</f>
        <v>4771</v>
      </c>
      <c r="AH6" s="6">
        <f>RANK('1bzr.'!C5,'1bzr.'!$C$3:'1bzr.'!$C$28,1)+COUNTIF('1bzr.'!$C$3:'1bzr.'!C5,'1bzr.'!C5)-1</f>
        <v>13</v>
      </c>
      <c r="AI6" s="115" t="str">
        <f>INDEX('1bzr.'!B3:H28,MATCH(3,AH4:AH29,0),1)</f>
        <v>Tarnobrzeg</v>
      </c>
      <c r="AJ6" s="6">
        <f>INDEX('1bzr.'!B3:L28,MATCH(3,AH4:AH29,0),2)</f>
        <v>1189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1390</v>
      </c>
      <c r="E7" s="37">
        <f>INDEX('1bzr.'!B3:H28,MATCH(4,B4:B29,0),3)</f>
        <v>1427</v>
      </c>
      <c r="F7" s="6">
        <f>INDEX('1bzr.'!B3:H28,MATCH(4,B4:B29,0),4)</f>
        <v>-37</v>
      </c>
      <c r="G7" s="37">
        <f>INDEX('1bzr.'!B3:H28,MATCH(4,B4:B29,0),6)</f>
        <v>1215</v>
      </c>
      <c r="H7" s="6">
        <f>INDEX('1bzr.'!B3:H28,MATCH(4,B4:B29,0),7)</f>
        <v>175</v>
      </c>
      <c r="V7" s="6">
        <f>RANK('1bzr.'!E6,'1bzr.'!$E$3:'1bzr.'!$E$28,1)+COUNTIF('1bzr.'!$E$3:'1bzr.'!E6,'1bzr.'!E6)-1</f>
        <v>3</v>
      </c>
      <c r="W7" s="128" t="str">
        <f>INDEX('1bzr.'!B3:H28,MATCH(4,V4:V29,0),1)</f>
        <v>stalowowolski</v>
      </c>
      <c r="X7" s="6">
        <f>INDEX('1bzr.'!E3:H28,MATCH(4,V4:V29,0),1)</f>
        <v>-125</v>
      </c>
      <c r="Y7" s="166">
        <v>3</v>
      </c>
      <c r="Z7" s="172">
        <f>RANK('1bzr.'!F6,'1bzr.'!$F$3:'1bzr.'!$F$28,1)+COUNTIF('1bzr.'!$F$3:'1bzr.'!F6,'1bzr.'!F6)-1</f>
        <v>4</v>
      </c>
      <c r="AA7" s="155" t="str">
        <f>INDEX('1bzr.'!B3:G28,MATCH(4,Z4:Z29,0),1)</f>
        <v>jarosławski</v>
      </c>
      <c r="AB7" s="8">
        <f>INDEX('1bzr.'!D3:H28,MATCH(4,Z4:Z29,0),3)</f>
        <v>-3.5941671801191211</v>
      </c>
      <c r="AC7" s="2"/>
      <c r="AD7" s="6">
        <f>RANK('1bzr.'!C6,'1bzr.'!$C$3:'1bzr.'!$C$28,1)+COUNTIF('1bzr.'!$C$3:'1bzr.'!C6,'1bzr.'!C6)-1</f>
        <v>22</v>
      </c>
      <c r="AE7" s="115" t="str">
        <f>INDEX('1bzr.'!B3:H28,MATCH(22,AD4:AD29,0),1)</f>
        <v>jarosławski</v>
      </c>
      <c r="AF7" s="6">
        <f>INDEX('1bzr.'!B3:L28,MATCH(22,AD4:AD29,0),2)</f>
        <v>4694</v>
      </c>
      <c r="AH7" s="6">
        <f>RANK('1bzr.'!C6,'1bzr.'!$C$3:'1bzr.'!$C$28,1)+COUNTIF('1bzr.'!$C$3:'1bzr.'!C6,'1bzr.'!C6)-1</f>
        <v>22</v>
      </c>
      <c r="AI7" s="115" t="str">
        <f>INDEX('1bzr.'!B3:H28,MATCH(4,AH4:AH29,0),1)</f>
        <v xml:space="preserve">tarnobrzeski </v>
      </c>
      <c r="AJ7" s="6">
        <f>INDEX('1bzr.'!B3:L28,MATCH(4,AH4:AH29,0),2)</f>
        <v>1390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leski</v>
      </c>
      <c r="D8" s="6">
        <f>INDEX('1bzr.'!B3:H28,MATCH(5,B4:B29,0),2)</f>
        <v>1590</v>
      </c>
      <c r="E8" s="37">
        <f>INDEX('1bzr.'!B3:H28,MATCH(5,B4:B29,0),3)</f>
        <v>1704</v>
      </c>
      <c r="F8" s="6">
        <f>INDEX('1bzr.'!B3:H28,MATCH(5,B4:B29,0),4)</f>
        <v>-114</v>
      </c>
      <c r="G8" s="37">
        <f>INDEX('1bzr.'!B3:H28,MATCH(5,B4:B29,0),6)</f>
        <v>1531</v>
      </c>
      <c r="H8" s="6">
        <f>INDEX('1bzr.'!B3:H28,MATCH(5,B4:B29,0),7)</f>
        <v>59</v>
      </c>
      <c r="V8" s="6">
        <f>RANK('1bzr.'!E7,'1bzr.'!$E$3:'1bzr.'!$E$28,1)+COUNTIF('1bzr.'!$E$3:'1bzr.'!E7,'1bzr.'!E7)-1</f>
        <v>9</v>
      </c>
      <c r="W8" s="128" t="str">
        <f>INDEX('1bzr.'!B3:H28,MATCH(5,V4:V29,0),1)</f>
        <v>sanocki</v>
      </c>
      <c r="X8" s="6">
        <f>INDEX('1bzr.'!E3:H28,MATCH(5,V4:V29,0),1)</f>
        <v>-116</v>
      </c>
      <c r="Y8" s="166">
        <v>4</v>
      </c>
      <c r="Z8" s="172">
        <f>RANK('1bzr.'!F7,'1bzr.'!$F$3:'1bzr.'!$F$28,1)+COUNTIF('1bzr.'!$F$3:'1bzr.'!F7,'1bzr.'!F7)-1</f>
        <v>22</v>
      </c>
      <c r="AA8" s="155" t="str">
        <f>INDEX('1bzr.'!B3:G28,MATCH(5,Z4:Z29,0),1)</f>
        <v>rzeszowski</v>
      </c>
      <c r="AB8" s="8">
        <f>INDEX('1bzr.'!D3:H28,MATCH(5,Z4:Z29,0),3)</f>
        <v>-3.5577117444916109</v>
      </c>
      <c r="AC8" s="2"/>
      <c r="AD8" s="6">
        <f>RANK('1bzr.'!C7,'1bzr.'!$C$3:'1bzr.'!$C$28,1)+COUNTIF('1bzr.'!$C$3:'1bzr.'!C7,'1bzr.'!C7)-1</f>
        <v>24</v>
      </c>
      <c r="AE8" s="115" t="str">
        <f>INDEX('1bzr.'!B3:H28,MATCH(21,AD4:AD29,0),1)</f>
        <v>przeworski</v>
      </c>
      <c r="AF8" s="6">
        <f>INDEX('1bzr.'!B3:L28,MATCH(21,AD4:AD29,0),2)</f>
        <v>3471</v>
      </c>
      <c r="AH8" s="6">
        <f>RANK('1bzr.'!C7,'1bzr.'!$C$3:'1bzr.'!$C$28,1)+COUNTIF('1bzr.'!$C$3:'1bzr.'!C7,'1bzr.'!C7)-1</f>
        <v>24</v>
      </c>
      <c r="AI8" s="115" t="str">
        <f>INDEX('1bzr.'!B3:H28,MATCH(5,AH4:AH29,0),1)</f>
        <v>leski</v>
      </c>
      <c r="AJ8" s="6">
        <f>INDEX('1bzr.'!B3:L28,MATCH(5,AH4:AH29,0),2)</f>
        <v>1590</v>
      </c>
    </row>
    <row r="9" spans="2:36" x14ac:dyDescent="0.2">
      <c r="B9" s="6">
        <f>RANK('1bzr.'!C8,'1bzr.'!$C$3:'1bzr.'!$C$28,1)+COUNTIF('1bzr.'!$C$3:'1bzr.'!C8,'1bzr.'!C8)-1</f>
        <v>6</v>
      </c>
      <c r="C9" s="5" t="str">
        <f>INDEX('1bzr.'!B3:H28,MATCH(6,B4:B29,0),1)</f>
        <v>kolbuszowski</v>
      </c>
      <c r="D9" s="6">
        <f>INDEX('1bzr.'!B3:H28,MATCH(6,B4:B29,0),2)</f>
        <v>1645</v>
      </c>
      <c r="E9" s="37">
        <f>INDEX('1bzr.'!B3:H28,MATCH(6,B4:B29,0),3)</f>
        <v>1669</v>
      </c>
      <c r="F9" s="6">
        <f>INDEX('1bzr.'!B3:H28,MATCH(6,B4:B29,0),4)</f>
        <v>-24</v>
      </c>
      <c r="G9" s="37">
        <f>INDEX('1bzr.'!B3:H28,MATCH(6,B4:B29,0),6)</f>
        <v>1476</v>
      </c>
      <c r="H9" s="6">
        <f>INDEX('1bzr.'!B3:H28,MATCH(6,B4:B29,0),7)</f>
        <v>169</v>
      </c>
      <c r="V9" s="6">
        <f>RANK('1bzr.'!E8,'1bzr.'!$E$3:'1bzr.'!$E$28,1)+COUNTIF('1bzr.'!$E$3:'1bzr.'!E8,'1bzr.'!E8)-1</f>
        <v>25</v>
      </c>
      <c r="W9" s="128" t="str">
        <f>INDEX('1bzr.'!B3:H28,MATCH(6,V4:V29,0),1)</f>
        <v>leski</v>
      </c>
      <c r="X9" s="6">
        <f>INDEX('1bzr.'!E3:H28,MATCH(6,V4:V29,0),1)</f>
        <v>-114</v>
      </c>
      <c r="Y9" s="166">
        <v>5</v>
      </c>
      <c r="Z9" s="172">
        <f>RANK('1bzr.'!F8,'1bzr.'!$F$3:'1bzr.'!$F$28,1)+COUNTIF('1bzr.'!$F$3:'1bzr.'!F8,'1bzr.'!F8)-1</f>
        <v>24</v>
      </c>
      <c r="AA9" s="155" t="str">
        <f>INDEX('1bzr.'!B3:G28,MATCH(6,Z4:Z29,0),1)</f>
        <v>lubaczowski</v>
      </c>
      <c r="AB9" s="8">
        <f>INDEX('1bzr.'!D3:H28,MATCH(6,Z4:Z29,0),3)</f>
        <v>-3.5118019573978123</v>
      </c>
      <c r="AC9" s="2"/>
      <c r="AD9" s="6">
        <f>RANK('1bzr.'!C8,'1bzr.'!$C$3:'1bzr.'!$C$28,1)+COUNTIF('1bzr.'!$C$3:'1bzr.'!C8,'1bzr.'!C8)-1</f>
        <v>6</v>
      </c>
      <c r="AE9" s="115" t="str">
        <f>INDEX('1bzr.'!B3:H28,MATCH(20,AD4:AD29,0),1)</f>
        <v>brzozowski</v>
      </c>
      <c r="AF9" s="6">
        <f>INDEX('1bzr.'!B3:L28,MATCH(20,AD4:AD29,0),2)</f>
        <v>3429</v>
      </c>
      <c r="AH9" s="6">
        <f>RANK('1bzr.'!C8,'1bzr.'!$C$3:'1bzr.'!$C$28,1)+COUNTIF('1bzr.'!$C$3:'1bzr.'!C8,'1bzr.'!C8)-1</f>
        <v>6</v>
      </c>
      <c r="AI9" s="115" t="str">
        <f>INDEX('1bzr.'!B3:H28,MATCH(6,AH4:AH29,0),1)</f>
        <v>kolbuszowski</v>
      </c>
      <c r="AJ9" s="6">
        <f>INDEX('1bzr.'!B3:L28,MATCH(6,AH4:AH29,0),2)</f>
        <v>1645</v>
      </c>
    </row>
    <row r="10" spans="2:36" x14ac:dyDescent="0.2">
      <c r="B10" s="6">
        <f>RANK('1bzr.'!C9,'1bzr.'!$C$3:'1bzr.'!$C$28,1)+COUNTIF('1bzr.'!$C$3:'1bzr.'!C9,'1bzr.'!C9)-1</f>
        <v>9</v>
      </c>
      <c r="C10" s="9" t="str">
        <f>INDEX('1bzr.'!B3:H28,MATCH(7,B4:B29,0),1)</f>
        <v>lubaczowski</v>
      </c>
      <c r="D10" s="6">
        <f>INDEX('1bzr.'!B3:H28,MATCH(7,B4:B29,0),2)</f>
        <v>1676</v>
      </c>
      <c r="E10" s="37">
        <f>INDEX('1bzr.'!B3:H28,MATCH(7,B4:B29,0),3)</f>
        <v>1737</v>
      </c>
      <c r="F10" s="6">
        <f>INDEX('1bzr.'!B3:H28,MATCH(7,B4:B29,0),4)</f>
        <v>-61</v>
      </c>
      <c r="G10" s="37">
        <f>INDEX('1bzr.'!B3:H28,MATCH(7,B4:B29,0),6)</f>
        <v>1499</v>
      </c>
      <c r="H10" s="6">
        <f>INDEX('1bzr.'!B3:H28,MATCH(7,B4:B29,0),7)</f>
        <v>177</v>
      </c>
      <c r="V10" s="6">
        <f>RANK('1bzr.'!E9,'1bzr.'!$E$3:'1bzr.'!$E$28,1)+COUNTIF('1bzr.'!$E$3:'1bzr.'!E9,'1bzr.'!E9)-1</f>
        <v>17</v>
      </c>
      <c r="W10" s="133" t="str">
        <f>INDEX('1bzr.'!B3:H28,MATCH(7,V4:V29,0),1)</f>
        <v>Rzeszów</v>
      </c>
      <c r="X10" s="6">
        <f>INDEX('1bzr.'!E3:H28,MATCH(7,V4:V29,0),1)</f>
        <v>-114</v>
      </c>
      <c r="Y10" s="166">
        <v>6</v>
      </c>
      <c r="Z10" s="172">
        <f>RANK('1bzr.'!F9,'1bzr.'!$F$3:'1bzr.'!$F$28,1)+COUNTIF('1bzr.'!$F$3:'1bzr.'!F9,'1bzr.'!F9)-1</f>
        <v>16</v>
      </c>
      <c r="AA10" s="155" t="str">
        <f>INDEX('1bzr.'!B3:G28,MATCH(7,Z4:Z29,0),1)</f>
        <v>bieszczadzki</v>
      </c>
      <c r="AB10" s="8">
        <f>INDEX('1bzr.'!D3:H28,MATCH(7,Z4:Z29,0),3)</f>
        <v>-3.3807829181494666</v>
      </c>
      <c r="AC10" s="2"/>
      <c r="AD10" s="6">
        <f>RANK('1bzr.'!C9,'1bzr.'!$C$3:'1bzr.'!$C$28,1)+COUNTIF('1bzr.'!$C$3:'1bzr.'!C9,'1bzr.'!C9)-1</f>
        <v>9</v>
      </c>
      <c r="AE10" s="134" t="str">
        <f>INDEX('1bzr.'!B3:H28,MATCH(19,AD4:AD29,0),1)</f>
        <v>mielecki</v>
      </c>
      <c r="AF10" s="6">
        <f>INDEX('1bzr.'!B3:L28,MATCH(19,AD4:AD29,0),2)</f>
        <v>3396</v>
      </c>
      <c r="AH10" s="6">
        <f>RANK('1bzr.'!C9,'1bzr.'!$C$3:'1bzr.'!$C$28,1)+COUNTIF('1bzr.'!$C$3:'1bzr.'!C9,'1bzr.'!C9)-1</f>
        <v>9</v>
      </c>
      <c r="AI10" s="134" t="str">
        <f>INDEX('1bzr.'!B3:H28,MATCH(7,AH4:AH29,0),1)</f>
        <v>lubaczowski</v>
      </c>
      <c r="AJ10" s="6">
        <f>INDEX('1bzr.'!B3:L28,MATCH(7,AH4:AH29,0),2)</f>
        <v>1676</v>
      </c>
    </row>
    <row r="11" spans="2:36" x14ac:dyDescent="0.2">
      <c r="B11" s="6">
        <f>RANK('1bzr.'!C10,'1bzr.'!$C$3:'1bzr.'!$C$28,1)+COUNTIF('1bzr.'!$C$3:'1bzr.'!C10,'1bzr.'!C10)-1</f>
        <v>5</v>
      </c>
      <c r="C11" s="5" t="str">
        <f>INDEX('1bzr.'!B3:H28,MATCH(8,B4:B29,0),1)</f>
        <v>stalowowolski</v>
      </c>
      <c r="D11" s="6">
        <f>INDEX('1bzr.'!B3:H28,MATCH(8,B4:B29,0),2)</f>
        <v>2404</v>
      </c>
      <c r="E11" s="37">
        <f>INDEX('1bzr.'!B3:H28,MATCH(8,B4:B29,0),3)</f>
        <v>2529</v>
      </c>
      <c r="F11" s="6">
        <f>INDEX('1bzr.'!B3:H28,MATCH(8,B4:B29,0),4)</f>
        <v>-125</v>
      </c>
      <c r="G11" s="37">
        <f>INDEX('1bzr.'!B3:H28,MATCH(8,B4:B29,0),6)</f>
        <v>2174</v>
      </c>
      <c r="H11" s="6">
        <f>INDEX('1bzr.'!B3:H28,MATCH(8,B4:B29,0),7)</f>
        <v>230</v>
      </c>
      <c r="V11" s="6">
        <f>RANK('1bzr.'!E10,'1bzr.'!$E$3:'1bzr.'!$E$28,1)+COUNTIF('1bzr.'!$E$3:'1bzr.'!E10,'1bzr.'!E10)-1</f>
        <v>6</v>
      </c>
      <c r="W11" s="128" t="str">
        <f>INDEX('1bzr.'!B3:H28,MATCH(8,V4:V29,0),1)</f>
        <v>leżajski</v>
      </c>
      <c r="X11" s="6">
        <f>INDEX('1bzr.'!E3:H28,MATCH(8,V4:V29,0),1)</f>
        <v>-94</v>
      </c>
      <c r="Y11" s="166">
        <v>7</v>
      </c>
      <c r="Z11" s="172">
        <f>RANK('1bzr.'!F10,'1bzr.'!$F$3:'1bzr.'!$F$28,1)+COUNTIF('1bzr.'!$F$3:'1bzr.'!F10,'1bzr.'!F10)-1</f>
        <v>1</v>
      </c>
      <c r="AA11" s="155" t="str">
        <f>INDEX('1bzr.'!B3:G28,MATCH(8,Z4:Z29,0),1)</f>
        <v>leżajski</v>
      </c>
      <c r="AB11" s="8">
        <f>INDEX('1bzr.'!D3:H28,MATCH(8,Z4:Z29,0),3)</f>
        <v>-3.1105228325612178</v>
      </c>
      <c r="AC11" s="2"/>
      <c r="AD11" s="6">
        <f>RANK('1bzr.'!C10,'1bzr.'!$C$3:'1bzr.'!$C$28,1)+COUNTIF('1bzr.'!$C$3:'1bzr.'!C10,'1bzr.'!C10)-1</f>
        <v>5</v>
      </c>
      <c r="AE11" s="115" t="str">
        <f>INDEX('1bzr.'!B3:H28,MATCH(18,AD4:AD29,0),1)</f>
        <v>sanocki</v>
      </c>
      <c r="AF11" s="6">
        <f>INDEX('1bzr.'!B3:L28,MATCH(18,AD4:AD29,0),2)</f>
        <v>3019</v>
      </c>
      <c r="AH11" s="6">
        <f>RANK('1bzr.'!C10,'1bzr.'!$C$3:'1bzr.'!$C$28,1)+COUNTIF('1bzr.'!$C$3:'1bzr.'!C10,'1bzr.'!C10)-1</f>
        <v>5</v>
      </c>
      <c r="AI11" s="115" t="str">
        <f>INDEX('1bzr.'!B3:H28,MATCH(8,AH4:AH29,0),1)</f>
        <v>stalowowolski</v>
      </c>
      <c r="AJ11" s="6">
        <f>INDEX('1bzr.'!B3:L28,MATCH(8,AH4:AH29,0),2)</f>
        <v>2404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krośnieński</v>
      </c>
      <c r="D12" s="6">
        <f>INDEX('1bzr.'!B3:H28,MATCH(9,B4:B29,0),2)</f>
        <v>2495</v>
      </c>
      <c r="E12" s="37">
        <f>INDEX('1bzr.'!B3:H28,MATCH(9,B4:B29,0),3)</f>
        <v>2547</v>
      </c>
      <c r="F12" s="6">
        <f>INDEX('1bzr.'!B3:H28,MATCH(9,B4:B29,0),4)</f>
        <v>-52</v>
      </c>
      <c r="G12" s="37">
        <f>INDEX('1bzr.'!B3:H28,MATCH(9,B4:B29,0),6)</f>
        <v>2341</v>
      </c>
      <c r="H12" s="6">
        <f>INDEX('1bzr.'!B3:H28,MATCH(9,B4:B29,0),7)</f>
        <v>154</v>
      </c>
      <c r="V12" s="6">
        <f>RANK('1bzr.'!E11,'1bzr.'!$E$3:'1bzr.'!$E$28,1)+COUNTIF('1bzr.'!$E$3:'1bzr.'!E11,'1bzr.'!E11)-1</f>
        <v>8</v>
      </c>
      <c r="W12" s="128" t="str">
        <f>INDEX('1bzr.'!B3:H28,MATCH(9,V4:V29,0),1)</f>
        <v>jasielski</v>
      </c>
      <c r="X12" s="6">
        <f>INDEX('1bzr.'!E3:H28,MATCH(9,V4:V29,0),1)</f>
        <v>-77</v>
      </c>
      <c r="Y12" s="166">
        <v>8</v>
      </c>
      <c r="Z12" s="172">
        <f>RANK('1bzr.'!F11,'1bzr.'!$F$3:'1bzr.'!$F$28,1)+COUNTIF('1bzr.'!$F$3:'1bzr.'!F11,'1bzr.'!F11)-1</f>
        <v>8</v>
      </c>
      <c r="AA12" s="155" t="str">
        <f>INDEX('1bzr.'!B3:G28,MATCH(9,Z4:Z29,0),1)</f>
        <v xml:space="preserve">tarnobrzeski </v>
      </c>
      <c r="AB12" s="8">
        <f>INDEX('1bzr.'!D3:H28,MATCH(9,Z4:Z29,0),3)</f>
        <v>-2.5928521373510862</v>
      </c>
      <c r="AC12" s="2"/>
      <c r="AD12" s="6">
        <f>RANK('1bzr.'!C11,'1bzr.'!$C$3:'1bzr.'!$C$28,1)+COUNTIF('1bzr.'!$C$3:'1bzr.'!C11,'1bzr.'!C11)-1</f>
        <v>14</v>
      </c>
      <c r="AE12" s="115" t="str">
        <f>INDEX('1bzr.'!B3:H28,MATCH(17,AD4:AD29,0),1)</f>
        <v>strzyżowski</v>
      </c>
      <c r="AF12" s="6">
        <f>INDEX('1bzr.'!B3:L28,MATCH(17,AD4:AD29,0),2)</f>
        <v>3008</v>
      </c>
      <c r="AH12" s="6">
        <f>RANK('1bzr.'!C11,'1bzr.'!$C$3:'1bzr.'!$C$28,1)+COUNTIF('1bzr.'!$C$3:'1bzr.'!C11,'1bzr.'!C11)-1</f>
        <v>14</v>
      </c>
      <c r="AI12" s="115" t="str">
        <f>INDEX('1bzr.'!B3:H28,MATCH(9,AH4:AH29,0),1)</f>
        <v>krośnieński</v>
      </c>
      <c r="AJ12" s="6">
        <f>INDEX('1bzr.'!B3:L28,MATCH(9,AH4:AH29,0),2)</f>
        <v>2495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Przemyśl</v>
      </c>
      <c r="D13" s="6">
        <f>INDEX('1bzr.'!B3:H28,MATCH(10,B4:B29,0),2)</f>
        <v>2568</v>
      </c>
      <c r="E13" s="37">
        <f>INDEX('1bzr.'!B3:H28,MATCH(10,B4:B29,0),3)</f>
        <v>2593</v>
      </c>
      <c r="F13" s="6">
        <f>INDEX('1bzr.'!B3:H28,MATCH(10,B4:B29,0),4)</f>
        <v>-25</v>
      </c>
      <c r="G13" s="37">
        <f>INDEX('1bzr.'!B3:H28,MATCH(10,B4:B29,0),6)</f>
        <v>2338</v>
      </c>
      <c r="H13" s="6">
        <f>INDEX('1bzr.'!B3:H28,MATCH(10,B4:B29,0),7)</f>
        <v>230</v>
      </c>
      <c r="V13" s="6">
        <f>RANK('1bzr.'!E12,'1bzr.'!$E$3:'1bzr.'!$E$28,1)+COUNTIF('1bzr.'!$E$3:'1bzr.'!E12,'1bzr.'!E12)-1</f>
        <v>13</v>
      </c>
      <c r="W13" s="128" t="str">
        <f>INDEX('1bzr.'!B3:H28,MATCH(10,V4:V29,0),1)</f>
        <v>brzozowski</v>
      </c>
      <c r="X13" s="6">
        <f>INDEX('1bzr.'!E3:H28,MATCH(10,V4:V29,0),1)</f>
        <v>-74</v>
      </c>
      <c r="Y13" s="166">
        <v>9</v>
      </c>
      <c r="Z13" s="172">
        <f>RANK('1bzr.'!F12,'1bzr.'!$F$3:'1bzr.'!$F$28,1)+COUNTIF('1bzr.'!$F$3:'1bzr.'!F12,'1bzr.'!F12)-1</f>
        <v>6</v>
      </c>
      <c r="AA13" s="155" t="str">
        <f>INDEX('1bzr.'!B3:G28,MATCH(10,Z4:Z29,0),1)</f>
        <v>Krosno</v>
      </c>
      <c r="AB13" s="8">
        <f>INDEX('1bzr.'!D3:H28,MATCH(10,Z4:Z29,0),3)</f>
        <v>-2.5862068965517242</v>
      </c>
      <c r="AC13" s="111"/>
      <c r="AD13" s="6">
        <f>RANK('1bzr.'!C12,'1bzr.'!$C$3:'1bzr.'!$C$28,1)+COUNTIF('1bzr.'!$C$3:'1bzr.'!C12,'1bzr.'!C12)-1</f>
        <v>7</v>
      </c>
      <c r="AE13" s="115" t="str">
        <f>INDEX('1bzr.'!B3:H28,MATCH(16,AD4:AD29,0),1)</f>
        <v>przemyski</v>
      </c>
      <c r="AF13" s="6">
        <f>INDEX('1bzr.'!B3:L28,MATCH(16,AD4:AD29,0),2)</f>
        <v>3006</v>
      </c>
      <c r="AH13" s="6">
        <f>RANK('1bzr.'!C12,'1bzr.'!$C$3:'1bzr.'!$C$28,1)+COUNTIF('1bzr.'!$C$3:'1bzr.'!C12,'1bzr.'!C12)-1</f>
        <v>7</v>
      </c>
      <c r="AI13" s="115" t="str">
        <f>INDEX('1bzr.'!B3:H28,MATCH(10,AH4:AH29,0),1)</f>
        <v>Przemyśl</v>
      </c>
      <c r="AJ13" s="6">
        <f>INDEX('1bzr.'!B3:L28,MATCH(10,AH4:AH29,0),2)</f>
        <v>2568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2637</v>
      </c>
      <c r="E14" s="37">
        <f>INDEX('1bzr.'!B3:H28,MATCH(11,B4:B29,0),3)</f>
        <v>2678</v>
      </c>
      <c r="F14" s="6">
        <f>INDEX('1bzr.'!B3:H28,MATCH(11,B4:B29,0),4)</f>
        <v>-41</v>
      </c>
      <c r="G14" s="37">
        <f>INDEX('1bzr.'!B3:H28,MATCH(11,B4:B29,0),6)</f>
        <v>2381</v>
      </c>
      <c r="H14" s="6">
        <f>INDEX('1bzr.'!B3:H28,MATCH(11,B4:B29,0),7)</f>
        <v>256</v>
      </c>
      <c r="V14" s="6">
        <f>RANK('1bzr.'!E13,'1bzr.'!$E$3:'1bzr.'!$E$28,1)+COUNTIF('1bzr.'!$E$3:'1bzr.'!E13,'1bzr.'!E13)-1</f>
        <v>20</v>
      </c>
      <c r="W14" s="128" t="str">
        <f>INDEX('1bzr.'!B3:H28,MATCH(11,V4:V29,0),1)</f>
        <v>strzyżowski</v>
      </c>
      <c r="X14" s="6">
        <f>INDEX('1bzr.'!E3:H28,MATCH(11,V4:V29,0),1)</f>
        <v>-68</v>
      </c>
      <c r="Y14" s="166">
        <v>10</v>
      </c>
      <c r="Z14" s="173">
        <f>RANK('1bzr.'!F13,'1bzr.'!$F$3:'1bzr.'!$F$28,1)+COUNTIF('1bzr.'!$F$3:'1bzr.'!F13,'1bzr.'!F13)-1</f>
        <v>21</v>
      </c>
      <c r="AA14" s="174" t="str">
        <f>INDEX('1bzr.'!B3:G28,MATCH(11,Z4:Z29,0),1)</f>
        <v>województwo</v>
      </c>
      <c r="AB14" s="175">
        <f>INDEX('1bzr.'!D3:H28,MATCH(11,Z4:Z29,0),3)</f>
        <v>-2.4725918775425777</v>
      </c>
      <c r="AC14" s="2"/>
      <c r="AD14" s="6">
        <f>RANK('1bzr.'!C13,'1bzr.'!$C$3:'1bzr.'!$C$28,1)+COUNTIF('1bzr.'!$C$3:'1bzr.'!C13,'1bzr.'!C13)-1</f>
        <v>11</v>
      </c>
      <c r="AE14" s="115" t="str">
        <f>INDEX('1bzr.'!B3:H28,MATCH(15,AD4:AD29,0),1)</f>
        <v>niżański</v>
      </c>
      <c r="AF14" s="6">
        <f>INDEX('1bzr.'!B3:L28,MATCH(15,AD4:AD29,0),2)</f>
        <v>2964</v>
      </c>
      <c r="AH14" s="6">
        <f>RANK('1bzr.'!C13,'1bzr.'!$C$3:'1bzr.'!$C$28,1)+COUNTIF('1bzr.'!$C$3:'1bzr.'!C13,'1bzr.'!C13)-1</f>
        <v>11</v>
      </c>
      <c r="AI14" s="115" t="str">
        <f>INDEX('1bzr.'!B3:H28,MATCH(11,AH4:AH29,0),1)</f>
        <v>łańcucki</v>
      </c>
      <c r="AJ14" s="6">
        <f>INDEX('1bzr.'!B3:L28,MATCH(11,AH4:AH29,0),2)</f>
        <v>2637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ropczycko-sędziszowski</v>
      </c>
      <c r="D15" s="6">
        <f>INDEX('1bzr.'!B3:H28,MATCH(12,B4:B29,0),2)</f>
        <v>2784</v>
      </c>
      <c r="E15" s="37">
        <f>INDEX('1bzr.'!B3:H28,MATCH(12,B4:B29,0),3)</f>
        <v>2840</v>
      </c>
      <c r="F15" s="6">
        <f>INDEX('1bzr.'!B3:H28,MATCH(12,B4:B29,0),4)</f>
        <v>-56</v>
      </c>
      <c r="G15" s="37">
        <f>INDEX('1bzr.'!B3:H28,MATCH(12,B4:B29,0),6)</f>
        <v>2608</v>
      </c>
      <c r="H15" s="6">
        <f>INDEX('1bzr.'!B3:H28,MATCH(12,B4:B29,0),7)</f>
        <v>176</v>
      </c>
      <c r="V15" s="6">
        <f>RANK('1bzr.'!E14,'1bzr.'!$E$3:'1bzr.'!$E$28,1)+COUNTIF('1bzr.'!$E$3:'1bzr.'!E14,'1bzr.'!E14)-1</f>
        <v>14</v>
      </c>
      <c r="W15" s="128" t="str">
        <f>INDEX('1bzr.'!B3:H28,MATCH(12,V4:V29,0),1)</f>
        <v>niżański</v>
      </c>
      <c r="X15" s="6">
        <f>INDEX('1bzr.'!E3:H28,MATCH(12,V4:V29,0),1)</f>
        <v>-67</v>
      </c>
      <c r="Y15" s="166">
        <v>11</v>
      </c>
      <c r="Z15" s="172">
        <f>RANK('1bzr.'!F14,'1bzr.'!$F$3:'1bzr.'!$F$28,1)+COUNTIF('1bzr.'!$F$3:'1bzr.'!F14,'1bzr.'!F14)-1</f>
        <v>19</v>
      </c>
      <c r="AA15" s="155" t="str">
        <f>INDEX('1bzr.'!B3:G28,MATCH(12,Z4:Z29,0),1)</f>
        <v>strzyżowski</v>
      </c>
      <c r="AB15" s="8">
        <f>INDEX('1bzr.'!D3:H28,MATCH(12,Z4:Z29,0),3)</f>
        <v>-2.2106631989596877</v>
      </c>
      <c r="AC15" s="2"/>
      <c r="AD15" s="6">
        <f>RANK('1bzr.'!C14,'1bzr.'!$C$3:'1bzr.'!$C$28,1)+COUNTIF('1bzr.'!$C$3:'1bzr.'!C14,'1bzr.'!C14)-1</f>
        <v>19</v>
      </c>
      <c r="AE15" s="115" t="str">
        <f>INDEX('1bzr.'!B3:H28,MATCH(14,AD4:AD29,0),1)</f>
        <v>leżajski</v>
      </c>
      <c r="AF15" s="6">
        <f>INDEX('1bzr.'!B3:L28,MATCH(14,AD4:AD29,0),2)</f>
        <v>2928</v>
      </c>
      <c r="AH15" s="6">
        <f>RANK('1bzr.'!C14,'1bzr.'!$C$3:'1bzr.'!$C$28,1)+COUNTIF('1bzr.'!$C$3:'1bzr.'!C14,'1bzr.'!C14)-1</f>
        <v>19</v>
      </c>
      <c r="AI15" s="115" t="str">
        <f>INDEX('1bzr.'!B3:H28,MATCH(12,AH4:AH29,0),1)</f>
        <v>ropczycko-sędziszowski</v>
      </c>
      <c r="AJ15" s="6">
        <f>INDEX('1bzr.'!B3:L28,MATCH(12,AH4:AH29,0),2)</f>
        <v>2784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dębicki</v>
      </c>
      <c r="D16" s="6">
        <f>INDEX('1bzr.'!B3:H28,MATCH(13,B4:B29,0),2)</f>
        <v>2882</v>
      </c>
      <c r="E16" s="37">
        <f>INDEX('1bzr.'!B3:H28,MATCH(13,B4:B29,0),3)</f>
        <v>2939</v>
      </c>
      <c r="F16" s="6">
        <f>INDEX('1bzr.'!B3:H28,MATCH(13,B4:B29,0),4)</f>
        <v>-57</v>
      </c>
      <c r="G16" s="37">
        <f>INDEX('1bzr.'!B3:H28,MATCH(13,B4:B29,0),6)</f>
        <v>2158</v>
      </c>
      <c r="H16" s="6">
        <f>INDEX('1bzr.'!B3:H28,MATCH(13,B4:B29,0),7)</f>
        <v>724</v>
      </c>
      <c r="V16" s="6">
        <f>RANK('1bzr.'!E15,'1bzr.'!$E$3:'1bzr.'!$E$28,1)+COUNTIF('1bzr.'!$E$3:'1bzr.'!E15,'1bzr.'!E15)-1</f>
        <v>12</v>
      </c>
      <c r="W16" s="128" t="str">
        <f>INDEX('1bzr.'!B3:H28,MATCH(13,V4:V29,0),1)</f>
        <v>lubaczowski</v>
      </c>
      <c r="X16" s="6">
        <f>INDEX('1bzr.'!E3:H28,MATCH(13,V4:V29,0),1)</f>
        <v>-61</v>
      </c>
      <c r="Y16" s="166">
        <v>12</v>
      </c>
      <c r="Z16" s="172">
        <f>RANK('1bzr.'!F15,'1bzr.'!$F$3:'1bzr.'!$F$28,1)+COUNTIF('1bzr.'!$F$3:'1bzr.'!F15,'1bzr.'!F15)-1</f>
        <v>13</v>
      </c>
      <c r="AA16" s="155" t="str">
        <f>INDEX('1bzr.'!B3:G28,MATCH(13,Z4:Z29,0),1)</f>
        <v>niżański</v>
      </c>
      <c r="AB16" s="8">
        <f>INDEX('1bzr.'!D3:H28,MATCH(13,Z4:Z29,0),3)</f>
        <v>-2.2104915869350048</v>
      </c>
      <c r="AC16" s="2"/>
      <c r="AD16" s="6">
        <f>RANK('1bzr.'!C15,'1bzr.'!$C$3:'1bzr.'!$C$28,1)+COUNTIF('1bzr.'!$C$3:'1bzr.'!C15,'1bzr.'!C15)-1</f>
        <v>15</v>
      </c>
      <c r="AE16" s="115" t="str">
        <f>INDEX('1bzr.'!B3:H28,MATCH(13,AD4:AD29,0),1)</f>
        <v>dębicki</v>
      </c>
      <c r="AF16" s="6">
        <f>INDEX('1bzr.'!B3:L28,MATCH(13,AD4:AD29,0),2)</f>
        <v>2882</v>
      </c>
      <c r="AH16" s="6">
        <f>RANK('1bzr.'!C15,'1bzr.'!$C$3:'1bzr.'!$C$28,1)+COUNTIF('1bzr.'!$C$3:'1bzr.'!C15,'1bzr.'!C15)-1</f>
        <v>15</v>
      </c>
      <c r="AI16" s="115" t="str">
        <f>INDEX('1bzr.'!B3:H28,MATCH(13,AH4:AH29,0),1)</f>
        <v>dębicki</v>
      </c>
      <c r="AJ16" s="6">
        <f>INDEX('1bzr.'!B3:L28,MATCH(13,AH4:AH29,0),2)</f>
        <v>2882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2928</v>
      </c>
      <c r="E17" s="37">
        <f>INDEX('1bzr.'!B3:H28,MATCH(14,B4:B29,0),3)</f>
        <v>3022</v>
      </c>
      <c r="F17" s="6">
        <f>INDEX('1bzr.'!B3:H28,MATCH(14,B4:B29,0),4)</f>
        <v>-94</v>
      </c>
      <c r="G17" s="37">
        <f>INDEX('1bzr.'!B3:H28,MATCH(14,B4:B29,0),6)</f>
        <v>2806</v>
      </c>
      <c r="H17" s="6">
        <f>INDEX('1bzr.'!B3:H28,MATCH(14,B4:B29,0),7)</f>
        <v>122</v>
      </c>
      <c r="V17" s="6">
        <f>RANK('1bzr.'!E16,'1bzr.'!$E$3:'1bzr.'!$E$28,1)+COUNTIF('1bzr.'!$E$3:'1bzr.'!E16,'1bzr.'!E16)-1</f>
        <v>19</v>
      </c>
      <c r="W17" s="128" t="str">
        <f>INDEX('1bzr.'!B3:H28,MATCH(14,V4:V29,0),1)</f>
        <v>mielecki</v>
      </c>
      <c r="X17" s="6">
        <f>INDEX('1bzr.'!E3:H28,MATCH(14,V4:V29,0),1)</f>
        <v>-60</v>
      </c>
      <c r="Y17" s="166">
        <v>13</v>
      </c>
      <c r="Z17" s="172">
        <f>RANK('1bzr.'!F16,'1bzr.'!$F$3:'1bzr.'!$F$28,1)+COUNTIF('1bzr.'!$F$3:'1bzr.'!F16,'1bzr.'!F16)-1</f>
        <v>25</v>
      </c>
      <c r="AA17" s="155" t="str">
        <f>INDEX('1bzr.'!B3:G28,MATCH(14,Z4:Z29,0),1)</f>
        <v>brzozowski</v>
      </c>
      <c r="AB17" s="8">
        <f>INDEX('1bzr.'!D3:H28,MATCH(14,Z4:Z29,0),3)</f>
        <v>-2.1124750214102197</v>
      </c>
      <c r="AC17" s="2"/>
      <c r="AD17" s="6">
        <f>RANK('1bzr.'!C16,'1bzr.'!$C$3:'1bzr.'!$C$28,1)+COUNTIF('1bzr.'!$C$3:'1bzr.'!C16,'1bzr.'!C16)-1</f>
        <v>16</v>
      </c>
      <c r="AE17" s="115" t="str">
        <f>INDEX('1bzr.'!B3:H28,MATCH(12,AD4:AD29,0),1)</f>
        <v>ropczycko-sędziszowski</v>
      </c>
      <c r="AF17" s="6">
        <f>INDEX('1bzr.'!B3:L28,MATCH(12,AD4:AD29,0),2)</f>
        <v>2784</v>
      </c>
      <c r="AH17" s="6">
        <f>RANK('1bzr.'!C16,'1bzr.'!$C$3:'1bzr.'!$C$28,1)+COUNTIF('1bzr.'!$C$3:'1bzr.'!C16,'1bzr.'!C16)-1</f>
        <v>16</v>
      </c>
      <c r="AI17" s="115" t="str">
        <f>INDEX('1bzr.'!B3:H28,MATCH(14,AH4:AH29,0),1)</f>
        <v>leżajski</v>
      </c>
      <c r="AJ17" s="6">
        <f>INDEX('1bzr.'!B3:L28,MATCH(14,AH4:AH29,0),2)</f>
        <v>2928</v>
      </c>
    </row>
    <row r="18" spans="2:36" x14ac:dyDescent="0.2">
      <c r="B18" s="6">
        <f>RANK('1bzr.'!C17,'1bzr.'!$C$3:'1bzr.'!$C$28,1)+COUNTIF('1bzr.'!$C$3:'1bzr.'!C17,'1bzr.'!C17)-1</f>
        <v>21</v>
      </c>
      <c r="C18" s="5" t="str">
        <f>INDEX('1bzr.'!B3:H28,MATCH(15,B4:B29,0),1)</f>
        <v>niżański</v>
      </c>
      <c r="D18" s="6">
        <f>INDEX('1bzr.'!B3:H28,MATCH(15,B4:B29,0),2)</f>
        <v>2964</v>
      </c>
      <c r="E18" s="37">
        <f>INDEX('1bzr.'!B3:H28,MATCH(15,B4:B29,0),3)</f>
        <v>3031</v>
      </c>
      <c r="F18" s="6">
        <f>INDEX('1bzr.'!B3:H28,MATCH(15,B4:B29,0),4)</f>
        <v>-67</v>
      </c>
      <c r="G18" s="37">
        <f>INDEX('1bzr.'!B3:H28,MATCH(15,B4:B29,0),6)</f>
        <v>2801</v>
      </c>
      <c r="H18" s="6">
        <f>INDEX('1bzr.'!B3:H28,MATCH(15,B4:B29,0),7)</f>
        <v>163</v>
      </c>
      <c r="V18" s="6">
        <f>RANK('1bzr.'!E17,'1bzr.'!$E$3:'1bzr.'!$E$28,1)+COUNTIF('1bzr.'!$E$3:'1bzr.'!E17,'1bzr.'!E17)-1</f>
        <v>18</v>
      </c>
      <c r="W18" s="128" t="str">
        <f>INDEX('1bzr.'!B3:H28,MATCH(15,V4:V29,0),1)</f>
        <v>dębicki</v>
      </c>
      <c r="X18" s="6">
        <f>INDEX('1bzr.'!E3:H28,MATCH(15,V4:V29,0),1)</f>
        <v>-57</v>
      </c>
      <c r="Y18" s="166">
        <v>14</v>
      </c>
      <c r="Z18" s="172">
        <f>RANK('1bzr.'!F17,'1bzr.'!$F$3:'1bzr.'!$F$28,1)+COUNTIF('1bzr.'!$F$3:'1bzr.'!F17,'1bzr.'!F17)-1</f>
        <v>23</v>
      </c>
      <c r="AA18" s="155" t="str">
        <f>INDEX('1bzr.'!B3:G28,MATCH(15,Z4:Z29,0),1)</f>
        <v>Rzeszów</v>
      </c>
      <c r="AB18" s="8">
        <f>INDEX('1bzr.'!D3:H28,MATCH(15,Z4:Z29,0),3)</f>
        <v>-2.043010752688172</v>
      </c>
      <c r="AC18" s="2"/>
      <c r="AD18" s="6">
        <f>RANK('1bzr.'!C17,'1bzr.'!$C$3:'1bzr.'!$C$28,1)+COUNTIF('1bzr.'!$C$3:'1bzr.'!C17,'1bzr.'!C17)-1</f>
        <v>21</v>
      </c>
      <c r="AE18" s="115" t="str">
        <f>INDEX('1bzr.'!B3:H28,MATCH(11,AD4:AD29,0),1)</f>
        <v>łańcucki</v>
      </c>
      <c r="AF18" s="6">
        <f>INDEX('1bzr.'!B3:L28,MATCH(11,AD4:AD29,0),2)</f>
        <v>2637</v>
      </c>
      <c r="AH18" s="6">
        <f>RANK('1bzr.'!C17,'1bzr.'!$C$3:'1bzr.'!$C$28,1)+COUNTIF('1bzr.'!$C$3:'1bzr.'!C17,'1bzr.'!C17)-1</f>
        <v>21</v>
      </c>
      <c r="AI18" s="115" t="str">
        <f>INDEX('1bzr.'!B3:H28,MATCH(15,AH4:AH29,0),1)</f>
        <v>niżański</v>
      </c>
      <c r="AJ18" s="6">
        <f>INDEX('1bzr.'!B3:L28,MATCH(15,AH4:AH29,0),2)</f>
        <v>2964</v>
      </c>
    </row>
    <row r="19" spans="2:36" x14ac:dyDescent="0.2">
      <c r="B19" s="6">
        <f>RANK('1bzr.'!C18,'1bzr.'!$C$3:'1bzr.'!$C$28,1)+COUNTIF('1bzr.'!$C$3:'1bzr.'!C18,'1bzr.'!C18)-1</f>
        <v>12</v>
      </c>
      <c r="C19" s="5" t="str">
        <f>INDEX('1bzr.'!B3:H28,MATCH(16,B4:B29,0),1)</f>
        <v>przemyski</v>
      </c>
      <c r="D19" s="6">
        <f>INDEX('1bzr.'!B3:H28,MATCH(16,B4:B29,0),2)</f>
        <v>3006</v>
      </c>
      <c r="E19" s="37">
        <f>INDEX('1bzr.'!B3:H28,MATCH(16,B4:B29,0),3)</f>
        <v>3049</v>
      </c>
      <c r="F19" s="6">
        <f>INDEX('1bzr.'!B3:H28,MATCH(16,B4:B29,0),4)</f>
        <v>-43</v>
      </c>
      <c r="G19" s="37">
        <f>INDEX('1bzr.'!B3:H28,MATCH(16,B4:B29,0),6)</f>
        <v>2806</v>
      </c>
      <c r="H19" s="6">
        <f>INDEX('1bzr.'!B3:H28,MATCH(16,B4:B29,0),7)</f>
        <v>200</v>
      </c>
      <c r="V19" s="6">
        <f>RANK('1bzr.'!E18,'1bzr.'!$E$3:'1bzr.'!$E$28,1)+COUNTIF('1bzr.'!$E$3:'1bzr.'!E18,'1bzr.'!E18)-1</f>
        <v>16</v>
      </c>
      <c r="W19" s="128" t="str">
        <f>INDEX('1bzr.'!B3:H28,MATCH(16,V4:V29,0),1)</f>
        <v>ropczycko-sędziszowski</v>
      </c>
      <c r="X19" s="6">
        <f>INDEX('1bzr.'!E3:H28,MATCH(16,V4:V29,0),1)</f>
        <v>-56</v>
      </c>
      <c r="Y19" s="166">
        <v>15</v>
      </c>
      <c r="Z19" s="172">
        <f>RANK('1bzr.'!F18,'1bzr.'!$F$3:'1bzr.'!$F$28,1)+COUNTIF('1bzr.'!$F$3:'1bzr.'!F18,'1bzr.'!F18)-1</f>
        <v>17</v>
      </c>
      <c r="AA19" s="155" t="str">
        <f>INDEX('1bzr.'!B3:G28,MATCH(16,Z4:Z29,0),1)</f>
        <v>krośnieński</v>
      </c>
      <c r="AB19" s="8">
        <f>INDEX('1bzr.'!D3:H28,MATCH(16,Z4:Z29,0),3)</f>
        <v>-2.0416175893207695</v>
      </c>
      <c r="AC19" s="2"/>
      <c r="AD19" s="6">
        <f>RANK('1bzr.'!C18,'1bzr.'!$C$3:'1bzr.'!$C$28,1)+COUNTIF('1bzr.'!$C$3:'1bzr.'!C18,'1bzr.'!C18)-1</f>
        <v>12</v>
      </c>
      <c r="AE19" s="115" t="str">
        <f>INDEX('1bzr.'!B3:H28,MATCH(10,AD4:AD29,0),1)</f>
        <v>Przemyśl</v>
      </c>
      <c r="AF19" s="6">
        <f>INDEX('1bzr.'!B3:L28,MATCH(10,AD4:AD29,0),2)</f>
        <v>2568</v>
      </c>
      <c r="AH19" s="6">
        <f>RANK('1bzr.'!C18,'1bzr.'!$C$3:'1bzr.'!$C$28,1)+COUNTIF('1bzr.'!$C$3:'1bzr.'!C18,'1bzr.'!C18)-1</f>
        <v>12</v>
      </c>
      <c r="AI19" s="115" t="str">
        <f>INDEX('1bzr.'!B3:H28,MATCH(16,AH4:AH29,0),1)</f>
        <v>przemyski</v>
      </c>
      <c r="AJ19" s="6">
        <f>INDEX('1bzr.'!B3:L28,MATCH(16,AH4:AH29,0),2)</f>
        <v>3006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strzyżowski</v>
      </c>
      <c r="D20" s="6">
        <f>INDEX('1bzr.'!B3:H28,MATCH(17,B4:B29,0),2)</f>
        <v>3008</v>
      </c>
      <c r="E20" s="37">
        <f>INDEX('1bzr.'!B3:H28,MATCH(17,B4:B29,0),3)</f>
        <v>3076</v>
      </c>
      <c r="F20" s="6">
        <f>INDEX('1bzr.'!B3:H28,MATCH(17,B4:B29,0),4)</f>
        <v>-68</v>
      </c>
      <c r="G20" s="37">
        <f>INDEX('1bzr.'!B3:H28,MATCH(17,B4:B29,0),6)</f>
        <v>2917</v>
      </c>
      <c r="H20" s="6">
        <f>INDEX('1bzr.'!B3:H28,MATCH(17,B4:B29,0),7)</f>
        <v>91</v>
      </c>
      <c r="V20" s="6">
        <f>RANK('1bzr.'!E19,'1bzr.'!$E$3:'1bzr.'!$E$28,1)+COUNTIF('1bzr.'!$E$3:'1bzr.'!E19,'1bzr.'!E19)-1</f>
        <v>2</v>
      </c>
      <c r="W20" s="128" t="str">
        <f>INDEX('1bzr.'!B3:H28,MATCH(17,V4:V29,0),1)</f>
        <v>krośnieński</v>
      </c>
      <c r="X20" s="6">
        <f>INDEX('1bzr.'!E3:H28,MATCH(17,V4:V29,0),1)</f>
        <v>-52</v>
      </c>
      <c r="Y20" s="166">
        <v>16</v>
      </c>
      <c r="Z20" s="172">
        <f>RANK('1bzr.'!F19,'1bzr.'!$F$3:'1bzr.'!$F$28,1)+COUNTIF('1bzr.'!$F$3:'1bzr.'!F19,'1bzr.'!F19)-1</f>
        <v>5</v>
      </c>
      <c r="AA20" s="155" t="str">
        <f>INDEX('1bzr.'!B3:G28,MATCH(17,Z4:Z29,0),1)</f>
        <v>ropczycko-sędziszowski</v>
      </c>
      <c r="AB20" s="8">
        <f>INDEX('1bzr.'!D3:H28,MATCH(17,Z4:Z29,0),3)</f>
        <v>-1.971830985915493</v>
      </c>
      <c r="AC20" s="2"/>
      <c r="AD20" s="6">
        <f>RANK('1bzr.'!C19,'1bzr.'!$C$3:'1bzr.'!$C$28,1)+COUNTIF('1bzr.'!$C$3:'1bzr.'!C19,'1bzr.'!C19)-1</f>
        <v>23</v>
      </c>
      <c r="AE20" s="115" t="str">
        <f>INDEX('1bzr.'!B3:H28,MATCH(9,AD4:AD29,0),1)</f>
        <v>krośnieński</v>
      </c>
      <c r="AF20" s="6">
        <f>INDEX('1bzr.'!B3:L28,MATCH(9,AD4:AD29,0),2)</f>
        <v>2495</v>
      </c>
      <c r="AH20" s="6">
        <f>RANK('1bzr.'!C19,'1bzr.'!$C$3:'1bzr.'!$C$28,1)+COUNTIF('1bzr.'!$C$3:'1bzr.'!C19,'1bzr.'!C19)-1</f>
        <v>23</v>
      </c>
      <c r="AI20" s="115" t="str">
        <f>INDEX('1bzr.'!B3:H28,MATCH(17,AH4:AH29,0),1)</f>
        <v>strzyżowski</v>
      </c>
      <c r="AJ20" s="6">
        <f>INDEX('1bzr.'!B3:L28,MATCH(17,AH4:AH29,0),2)</f>
        <v>3008</v>
      </c>
    </row>
    <row r="21" spans="2:36" x14ac:dyDescent="0.2">
      <c r="B21" s="6">
        <f>RANK('1bzr.'!C20,'1bzr.'!$C$3:'1bzr.'!$C$28,1)+COUNTIF('1bzr.'!$C$3:'1bzr.'!C20,'1bzr.'!C20)-1</f>
        <v>18</v>
      </c>
      <c r="C21" s="5" t="str">
        <f>INDEX('1bzr.'!B3:H28,MATCH(18,B4:B29,0),1)</f>
        <v>sanocki</v>
      </c>
      <c r="D21" s="6">
        <f>INDEX('1bzr.'!B3:H28,MATCH(18,B4:B29,0),2)</f>
        <v>3019</v>
      </c>
      <c r="E21" s="37">
        <f>INDEX('1bzr.'!B3:H28,MATCH(18,B4:B29,0),3)</f>
        <v>3135</v>
      </c>
      <c r="F21" s="6">
        <f>INDEX('1bzr.'!B3:H28,MATCH(18,B4:B29,0),4)</f>
        <v>-116</v>
      </c>
      <c r="G21" s="37">
        <f>INDEX('1bzr.'!B3:H28,MATCH(18,B4:B29,0),6)</f>
        <v>2859</v>
      </c>
      <c r="H21" s="6">
        <f>INDEX('1bzr.'!B3:H28,MATCH(18,B4:B29,0),7)</f>
        <v>160</v>
      </c>
      <c r="V21" s="6">
        <f>RANK('1bzr.'!E20,'1bzr.'!$E$3:'1bzr.'!$E$28,1)+COUNTIF('1bzr.'!$E$3:'1bzr.'!E20,'1bzr.'!E20)-1</f>
        <v>5</v>
      </c>
      <c r="W21" s="128" t="str">
        <f>INDEX('1bzr.'!B3:H28,MATCH(18,V4:V29,0),1)</f>
        <v>przeworski</v>
      </c>
      <c r="X21" s="6">
        <f>INDEX('1bzr.'!E3:H28,MATCH(18,V4:V29,0),1)</f>
        <v>-51</v>
      </c>
      <c r="Y21" s="166">
        <v>17</v>
      </c>
      <c r="Z21" s="172">
        <f>RANK('1bzr.'!F20,'1bzr.'!$F$3:'1bzr.'!$F$28,1)+COUNTIF('1bzr.'!$F$3:'1bzr.'!F20,'1bzr.'!F20)-1</f>
        <v>3</v>
      </c>
      <c r="AA21" s="155" t="str">
        <f>INDEX('1bzr.'!B3:G28,MATCH(18,Z4:Z29,0),1)</f>
        <v>dębicki</v>
      </c>
      <c r="AB21" s="8">
        <f>INDEX('1bzr.'!D3:H28,MATCH(18,Z4:Z29,0),3)</f>
        <v>-1.9394351820347058</v>
      </c>
      <c r="AC21" s="2"/>
      <c r="AD21" s="6">
        <f>RANK('1bzr.'!C20,'1bzr.'!$C$3:'1bzr.'!$C$28,1)+COUNTIF('1bzr.'!$C$3:'1bzr.'!C20,'1bzr.'!C20)-1</f>
        <v>18</v>
      </c>
      <c r="AE21" s="115" t="str">
        <f>INDEX('1bzr.'!B3:H28,MATCH(8,AD4:AD29,0),1)</f>
        <v>stalowowolski</v>
      </c>
      <c r="AF21" s="6">
        <f>INDEX('1bzr.'!B3:L28,MATCH(8,AD4:AD29,0),2)</f>
        <v>2404</v>
      </c>
      <c r="AH21" s="6">
        <f>RANK('1bzr.'!C20,'1bzr.'!$C$3:'1bzr.'!$C$28,1)+COUNTIF('1bzr.'!$C$3:'1bzr.'!C20,'1bzr.'!C20)-1</f>
        <v>18</v>
      </c>
      <c r="AI21" s="115" t="str">
        <f>INDEX('1bzr.'!B3:H28,MATCH(18,AH4:AH29,0),1)</f>
        <v>sanocki</v>
      </c>
      <c r="AJ21" s="6">
        <f>INDEX('1bzr.'!B3:L28,MATCH(18,AH4:AH29,0),2)</f>
        <v>3019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3396</v>
      </c>
      <c r="E22" s="37">
        <f>INDEX('1bzr.'!B3:H28,MATCH(19,B4:B29,0),3)</f>
        <v>3456</v>
      </c>
      <c r="F22" s="6">
        <f>INDEX('1bzr.'!B3:H28,MATCH(19,B4:B29,0),4)</f>
        <v>-60</v>
      </c>
      <c r="G22" s="37">
        <f>INDEX('1bzr.'!B3:H28,MATCH(19,B4:B29,0),6)</f>
        <v>2998</v>
      </c>
      <c r="H22" s="6">
        <f>INDEX('1bzr.'!B3:H28,MATCH(19,B4:B29,0),7)</f>
        <v>398</v>
      </c>
      <c r="V22" s="6">
        <f>RANK('1bzr.'!E21,'1bzr.'!$E$3:'1bzr.'!$E$28,1)+COUNTIF('1bzr.'!$E$3:'1bzr.'!E21,'1bzr.'!E21)-1</f>
        <v>4</v>
      </c>
      <c r="W22" s="128" t="str">
        <f>INDEX('1bzr.'!B3:H28,MATCH(19,V4:V29,0),1)</f>
        <v>przemyski</v>
      </c>
      <c r="X22" s="6">
        <f>INDEX('1bzr.'!E3:H28,MATCH(19,V4:V29,0),1)</f>
        <v>-43</v>
      </c>
      <c r="Y22" s="166">
        <v>18</v>
      </c>
      <c r="Z22" s="172">
        <f>RANK('1bzr.'!F21,'1bzr.'!$F$3:'1bzr.'!$F$28,1)+COUNTIF('1bzr.'!$F$3:'1bzr.'!F21,'1bzr.'!F21)-1</f>
        <v>2</v>
      </c>
      <c r="AA22" s="155" t="str">
        <f>INDEX('1bzr.'!B3:G28,MATCH(19,Z4:Z29,0),1)</f>
        <v>mielecki</v>
      </c>
      <c r="AB22" s="8">
        <f>INDEX('1bzr.'!D3:H28,MATCH(19,Z4:Z29,0),3)</f>
        <v>-1.7361111111111112</v>
      </c>
      <c r="AC22" s="2"/>
      <c r="AD22" s="6">
        <f>RANK('1bzr.'!C21,'1bzr.'!$C$3:'1bzr.'!$C$28,1)+COUNTIF('1bzr.'!$C$3:'1bzr.'!C21,'1bzr.'!C21)-1</f>
        <v>8</v>
      </c>
      <c r="AE22" s="115" t="str">
        <f>INDEX('1bzr.'!B3:H28,MATCH(7,AD4:AD29,0),1)</f>
        <v>lubaczowski</v>
      </c>
      <c r="AF22" s="6">
        <f>INDEX('1bzr.'!B3:L28,MATCH(7,AD4:AD29,0),2)</f>
        <v>1676</v>
      </c>
      <c r="AH22" s="6">
        <f>RANK('1bzr.'!C21,'1bzr.'!$C$3:'1bzr.'!$C$28,1)+COUNTIF('1bzr.'!$C$3:'1bzr.'!C21,'1bzr.'!C21)-1</f>
        <v>8</v>
      </c>
      <c r="AI22" s="115" t="str">
        <f>INDEX('1bzr.'!B3:H28,MATCH(19,AH4:AH29,0),1)</f>
        <v>mielecki</v>
      </c>
      <c r="AJ22" s="6">
        <f>INDEX('1bzr.'!B3:L28,MATCH(19,AH4:AH29,0),2)</f>
        <v>3396</v>
      </c>
    </row>
    <row r="23" spans="2:36" x14ac:dyDescent="0.2">
      <c r="B23" s="6">
        <f>RANK('1bzr.'!C22,'1bzr.'!$C$3:'1bzr.'!$C$28,1)+COUNTIF('1bzr.'!$C$3:'1bzr.'!C22,'1bzr.'!C22)-1</f>
        <v>17</v>
      </c>
      <c r="C23" s="5" t="str">
        <f>INDEX('1bzr.'!B3:H28,MATCH(20,B4:B29,0),1)</f>
        <v>brzozowski</v>
      </c>
      <c r="D23" s="6">
        <f>INDEX('1bzr.'!B3:H28,MATCH(20,B4:B29,0),2)</f>
        <v>3429</v>
      </c>
      <c r="E23" s="37">
        <f>INDEX('1bzr.'!B3:H28,MATCH(20,B4:B29,0),3)</f>
        <v>3503</v>
      </c>
      <c r="F23" s="6">
        <f>INDEX('1bzr.'!B3:H28,MATCH(20,B4:B29,0),4)</f>
        <v>-74</v>
      </c>
      <c r="G23" s="37">
        <f>INDEX('1bzr.'!B3:H28,MATCH(20,B4:B29,0),6)</f>
        <v>3490</v>
      </c>
      <c r="H23" s="6">
        <f>INDEX('1bzr.'!B3:H28,MATCH(20,B4:B29,0),7)</f>
        <v>-61</v>
      </c>
      <c r="V23" s="6">
        <f>RANK('1bzr.'!E22,'1bzr.'!$E$3:'1bzr.'!$E$28,1)+COUNTIF('1bzr.'!$E$3:'1bzr.'!E22,'1bzr.'!E22)-1</f>
        <v>11</v>
      </c>
      <c r="W23" s="128" t="str">
        <f>INDEX('1bzr.'!B3:H28,MATCH(20,V4:V29,0),1)</f>
        <v>łańcucki</v>
      </c>
      <c r="X23" s="6">
        <f>INDEX('1bzr.'!E3:H28,MATCH(20,V4:V29,0),1)</f>
        <v>-41</v>
      </c>
      <c r="Y23" s="166">
        <v>19</v>
      </c>
      <c r="Z23" s="172">
        <f>RANK('1bzr.'!F22,'1bzr.'!$F$3:'1bzr.'!$F$28,1)+COUNTIF('1bzr.'!$F$3:'1bzr.'!F22,'1bzr.'!F22)-1</f>
        <v>12</v>
      </c>
      <c r="AA23" s="155" t="str">
        <f>INDEX('1bzr.'!B3:G28,MATCH(20,Z4:Z29,0),1)</f>
        <v>Tarnobrzeg</v>
      </c>
      <c r="AB23" s="8">
        <f>INDEX('1bzr.'!D3:H28,MATCH(20,Z4:Z29,0),3)</f>
        <v>-1.7355371900826446</v>
      </c>
      <c r="AC23" s="2"/>
      <c r="AD23" s="6">
        <f>RANK('1bzr.'!C22,'1bzr.'!$C$3:'1bzr.'!$C$28,1)+COUNTIF('1bzr.'!$C$3:'1bzr.'!C22,'1bzr.'!C22)-1</f>
        <v>17</v>
      </c>
      <c r="AE23" s="115" t="str">
        <f>INDEX('1bzr.'!B3:H28,MATCH(6,AD4:AD29,0),1)</f>
        <v>kolbuszowski</v>
      </c>
      <c r="AF23" s="6">
        <f>INDEX('1bzr.'!B3:L28,MATCH(6,AD4:AD29,0),2)</f>
        <v>1645</v>
      </c>
      <c r="AH23" s="6">
        <f>RANK('1bzr.'!C22,'1bzr.'!$C$3:'1bzr.'!$C$28,1)+COUNTIF('1bzr.'!$C$3:'1bzr.'!C22,'1bzr.'!C22)-1</f>
        <v>17</v>
      </c>
      <c r="AI23" s="115" t="str">
        <f>INDEX('1bzr.'!B3:H28,MATCH(20,AH4:AH29,0),1)</f>
        <v>brzozowski</v>
      </c>
      <c r="AJ23" s="6">
        <f>INDEX('1bzr.'!B3:L28,MATCH(20,AH4:AH29,0),2)</f>
        <v>3429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przeworski</v>
      </c>
      <c r="D24" s="6">
        <f>INDEX('1bzr.'!B3:H28,MATCH(21,B4:B29,0),2)</f>
        <v>3471</v>
      </c>
      <c r="E24" s="37">
        <f>INDEX('1bzr.'!B3:H28,MATCH(21,B4:B29,0),3)</f>
        <v>3522</v>
      </c>
      <c r="F24" s="6">
        <f>INDEX('1bzr.'!B3:H28,MATCH(21,B4:B29,0),4)</f>
        <v>-51</v>
      </c>
      <c r="G24" s="37">
        <f>INDEX('1bzr.'!B3:H28,MATCH(21,B4:B29,0),6)</f>
        <v>3257</v>
      </c>
      <c r="H24" s="6">
        <f>INDEX('1bzr.'!B3:H28,MATCH(21,B4:B29,0),7)</f>
        <v>214</v>
      </c>
      <c r="V24" s="6">
        <f>RANK('1bzr.'!E23,'1bzr.'!$E$3:'1bzr.'!$E$28,1)+COUNTIF('1bzr.'!$E$3:'1bzr.'!E23,'1bzr.'!E23)-1</f>
        <v>22</v>
      </c>
      <c r="W24" s="128" t="str">
        <f>INDEX('1bzr.'!B3:H28,MATCH(21,V4:V29,0),1)</f>
        <v>bieszczadzki</v>
      </c>
      <c r="X24" s="6">
        <f>INDEX('1bzr.'!E3:H28,MATCH(21,V4:V29,0),1)</f>
        <v>-38</v>
      </c>
      <c r="Y24" s="166">
        <v>20</v>
      </c>
      <c r="Z24" s="172">
        <f>RANK('1bzr.'!F23,'1bzr.'!$F$3:'1bzr.'!$F$28,1)+COUNTIF('1bzr.'!$F$3:'1bzr.'!F23,'1bzr.'!F23)-1</f>
        <v>9</v>
      </c>
      <c r="AA24" s="155" t="str">
        <f>INDEX('1bzr.'!B3:G28,MATCH(21,Z4:Z29,0),1)</f>
        <v>łańcucki</v>
      </c>
      <c r="AB24" s="8">
        <f>INDEX('1bzr.'!D3:H28,MATCH(21,Z4:Z29,0),3)</f>
        <v>-1.530993278566094</v>
      </c>
      <c r="AC24" s="2"/>
      <c r="AD24" s="6">
        <f>RANK('1bzr.'!C23,'1bzr.'!$C$3:'1bzr.'!$C$28,1)+COUNTIF('1bzr.'!$C$3:'1bzr.'!C23,'1bzr.'!C23)-1</f>
        <v>4</v>
      </c>
      <c r="AE24" s="115" t="str">
        <f>INDEX('1bzr.'!B3:H28,MATCH(5,AD4:AD29,0),1)</f>
        <v>leski</v>
      </c>
      <c r="AF24" s="6">
        <f>INDEX('1bzr.'!B3:L28,MATCH(5,AD4:AD29,0),2)</f>
        <v>1590</v>
      </c>
      <c r="AH24" s="6">
        <f>RANK('1bzr.'!C23,'1bzr.'!$C$3:'1bzr.'!$C$28,1)+COUNTIF('1bzr.'!$C$3:'1bzr.'!C23,'1bzr.'!C23)-1</f>
        <v>4</v>
      </c>
      <c r="AI24" s="115" t="str">
        <f>INDEX('1bzr.'!B3:H28,MATCH(21,AH4:AH29,0),1)</f>
        <v>przeworski</v>
      </c>
      <c r="AJ24" s="6">
        <f>INDEX('1bzr.'!B3:L28,MATCH(21,AH4:AH29,0),2)</f>
        <v>3471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4694</v>
      </c>
      <c r="E25" s="37">
        <f>INDEX('1bzr.'!B3:H28,MATCH(22,B4:B29,0),3)</f>
        <v>4869</v>
      </c>
      <c r="F25" s="6">
        <f>INDEX('1bzr.'!B3:H28,MATCH(22,B4:B29,0),4)</f>
        <v>-175</v>
      </c>
      <c r="G25" s="37">
        <f>INDEX('1bzr.'!B3:H28,MATCH(22,B4:B29,0),6)</f>
        <v>4365</v>
      </c>
      <c r="H25" s="6">
        <f>INDEX('1bzr.'!B3:H28,MATCH(22,B4:B29,0),7)</f>
        <v>329</v>
      </c>
      <c r="V25" s="6">
        <f>RANK('1bzr.'!E24,'1bzr.'!$E$3:'1bzr.'!$E$28,1)+COUNTIF('1bzr.'!$E$3:'1bzr.'!E24,'1bzr.'!E24)-1</f>
        <v>23</v>
      </c>
      <c r="W25" s="128" t="str">
        <f>INDEX('1bzr.'!B3:H28,MATCH(22,V4:V29,0),1)</f>
        <v xml:space="preserve">tarnobrzeski </v>
      </c>
      <c r="X25" s="6">
        <f>INDEX('1bzr.'!E3:H28,MATCH(22,V4:V29,0),1)</f>
        <v>-37</v>
      </c>
      <c r="Y25" s="166">
        <v>21</v>
      </c>
      <c r="Z25" s="172">
        <f>RANK('1bzr.'!F24,'1bzr.'!$F$3:'1bzr.'!$F$28,1)+COUNTIF('1bzr.'!$F$3:'1bzr.'!F24,'1bzr.'!F24)-1</f>
        <v>10</v>
      </c>
      <c r="AA25" s="155" t="str">
        <f>INDEX('1bzr.'!B3:G28,MATCH(22,Z4:Z29,0),1)</f>
        <v>jasielski</v>
      </c>
      <c r="AB25" s="8">
        <f>INDEX('1bzr.'!D3:H28,MATCH(22,Z4:Z29,0),3)</f>
        <v>-1.4572293716881151</v>
      </c>
      <c r="AC25" s="2"/>
      <c r="AD25" s="6">
        <f>RANK('1bzr.'!C24,'1bzr.'!$C$3:'1bzr.'!$C$28,1)+COUNTIF('1bzr.'!$C$3:'1bzr.'!C24,'1bzr.'!C24)-1</f>
        <v>1</v>
      </c>
      <c r="AE25" s="115" t="str">
        <f>INDEX('1bzr.'!B3:H28,MATCH(4,AD4:AD29,0),1)</f>
        <v xml:space="preserve">tarnobrzeski </v>
      </c>
      <c r="AF25" s="6">
        <f>INDEX('1bzr.'!B3:L28,MATCH(4,AD4:AD29,0),2)</f>
        <v>1390</v>
      </c>
      <c r="AH25" s="6">
        <f>RANK('1bzr.'!C24,'1bzr.'!$C$3:'1bzr.'!$C$28,1)+COUNTIF('1bzr.'!$C$3:'1bzr.'!C24,'1bzr.'!C24)-1</f>
        <v>1</v>
      </c>
      <c r="AI25" s="115" t="str">
        <f>INDEX('1bzr.'!B3:H28,MATCH(22,AH4:AH29,0),1)</f>
        <v>jarosławski</v>
      </c>
      <c r="AJ25" s="6">
        <f>INDEX('1bzr.'!B3:L28,MATCH(22,AH4:AH29,0),2)</f>
        <v>4694</v>
      </c>
    </row>
    <row r="26" spans="2:36" x14ac:dyDescent="0.2">
      <c r="B26" s="6">
        <f>RANK('1bzr.'!C25,'1bzr.'!$C$3:'1bzr.'!$C$28,1)+COUNTIF('1bzr.'!$C$3:'1bzr.'!C25,'1bzr.'!C25)-1</f>
        <v>10</v>
      </c>
      <c r="C26" s="5" t="str">
        <f>INDEX('1bzr.'!B3:H28,MATCH(23,B4:B29,0),1)</f>
        <v>rzeszowski</v>
      </c>
      <c r="D26" s="6">
        <f>INDEX('1bzr.'!B3:H28,MATCH(23,B4:B29,0),2)</f>
        <v>4771</v>
      </c>
      <c r="E26" s="37">
        <f>INDEX('1bzr.'!B3:H28,MATCH(23,B4:B29,0),3)</f>
        <v>4947</v>
      </c>
      <c r="F26" s="6">
        <f>INDEX('1bzr.'!B3:H28,MATCH(23,B4:B29,0),4)</f>
        <v>-176</v>
      </c>
      <c r="G26" s="37">
        <f>INDEX('1bzr.'!B3:H28,MATCH(23,B4:B29,0),6)</f>
        <v>4466</v>
      </c>
      <c r="H26" s="6">
        <f>INDEX('1bzr.'!B3:H28,MATCH(23,B4:B29,0),7)</f>
        <v>305</v>
      </c>
      <c r="V26" s="6">
        <f>RANK('1bzr.'!E25,'1bzr.'!$E$3:'1bzr.'!$E$28,1)+COUNTIF('1bzr.'!$E$3:'1bzr.'!E25,'1bzr.'!E25)-1</f>
        <v>24</v>
      </c>
      <c r="W26" s="128" t="str">
        <f>INDEX('1bzr.'!B3:H28,MATCH(23,V4:V29,0),1)</f>
        <v>Krosno</v>
      </c>
      <c r="X26" s="6">
        <f>INDEX('1bzr.'!E3:H28,MATCH(23,V4:V29,0),1)</f>
        <v>-27</v>
      </c>
      <c r="Y26" s="166">
        <v>22</v>
      </c>
      <c r="Z26" s="172">
        <f>RANK('1bzr.'!F25,'1bzr.'!$F$3:'1bzr.'!$F$28,1)+COUNTIF('1bzr.'!$F$3:'1bzr.'!F25,'1bzr.'!F25)-1</f>
        <v>26</v>
      </c>
      <c r="AA26" s="155" t="str">
        <f>INDEX('1bzr.'!B3:G28,MATCH(23,Z4:Z29,0),1)</f>
        <v>przeworski</v>
      </c>
      <c r="AB26" s="8">
        <f>INDEX('1bzr.'!D3:H28,MATCH(23,Z4:Z29,0),3)</f>
        <v>-1.4480408858603067</v>
      </c>
      <c r="AC26" s="2"/>
      <c r="AD26" s="6">
        <f>RANK('1bzr.'!C25,'1bzr.'!$C$3:'1bzr.'!$C$28,1)+COUNTIF('1bzr.'!$C$3:'1bzr.'!C25,'1bzr.'!C25)-1</f>
        <v>10</v>
      </c>
      <c r="AE26" s="115" t="str">
        <f>INDEX('1bzr.'!B3:H28,MATCH(3,AD4:AD29,0),1)</f>
        <v>Tarnobrzeg</v>
      </c>
      <c r="AF26" s="6">
        <f>INDEX('1bzr.'!B3:L28,MATCH(3,AD4:AD29,0),2)</f>
        <v>1189</v>
      </c>
      <c r="AH26" s="6">
        <f>RANK('1bzr.'!C25,'1bzr.'!$C$3:'1bzr.'!$C$28,1)+COUNTIF('1bzr.'!$C$3:'1bzr.'!C25,'1bzr.'!C25)-1</f>
        <v>10</v>
      </c>
      <c r="AI26" s="115" t="str">
        <f>INDEX('1bzr.'!B3:H28,MATCH(23,AH4:AH29,0),1)</f>
        <v>rzeszowski</v>
      </c>
      <c r="AJ26" s="6">
        <f>INDEX('1bzr.'!B3:L28,MATCH(23,AH4:AH29,0),2)</f>
        <v>4771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5207</v>
      </c>
      <c r="E27" s="37">
        <f>INDEX('1bzr.'!B3:H28,MATCH(24,B4:B29,0),3)</f>
        <v>5284</v>
      </c>
      <c r="F27" s="6">
        <f>INDEX('1bzr.'!B3:H28,MATCH(24,B4:B29,0),4)</f>
        <v>-77</v>
      </c>
      <c r="G27" s="37">
        <f>INDEX('1bzr.'!B3:H28,MATCH(24,B4:B29,0),6)</f>
        <v>4634</v>
      </c>
      <c r="H27" s="6">
        <f>INDEX('1bzr.'!B3:H28,MATCH(24,B4:B29,0),7)</f>
        <v>573</v>
      </c>
      <c r="V27" s="6">
        <f>RANK('1bzr.'!E26,'1bzr.'!$E$3:'1bzr.'!$E$28,1)+COUNTIF('1bzr.'!$E$3:'1bzr.'!E26,'1bzr.'!E26)-1</f>
        <v>7</v>
      </c>
      <c r="W27" s="128" t="str">
        <f>INDEX('1bzr.'!B3:H28,MATCH(24,V4:V29,0),1)</f>
        <v>Przemyśl</v>
      </c>
      <c r="X27" s="6">
        <f>INDEX('1bzr.'!E3:H28,MATCH(24,V4:V29,0),1)</f>
        <v>-25</v>
      </c>
      <c r="Y27" s="166">
        <v>23</v>
      </c>
      <c r="Z27" s="172">
        <f>RANK('1bzr.'!F26,'1bzr.'!$F$3:'1bzr.'!$F$28,1)+COUNTIF('1bzr.'!$F$3:'1bzr.'!F26,'1bzr.'!F26)-1</f>
        <v>15</v>
      </c>
      <c r="AA27" s="155" t="str">
        <f>INDEX('1bzr.'!B3:G28,MATCH(24,Z4:Z29,0),1)</f>
        <v>kolbuszowski</v>
      </c>
      <c r="AB27" s="8">
        <f>INDEX('1bzr.'!D3:H28,MATCH(24,Z4:Z29,0),3)</f>
        <v>-1.4379868184541642</v>
      </c>
      <c r="AC27" s="2"/>
      <c r="AD27" s="6">
        <f>RANK('1bzr.'!C26,'1bzr.'!$C$3:'1bzr.'!$C$28,1)+COUNTIF('1bzr.'!$C$3:'1bzr.'!C26,'1bzr.'!C26)-1</f>
        <v>25</v>
      </c>
      <c r="AE27" s="115" t="str">
        <f>INDEX('1bzr.'!B3:H28,MATCH(2,AD4:AD29,0),1)</f>
        <v>bieszczadzki</v>
      </c>
      <c r="AF27" s="6">
        <f>INDEX('1bzr.'!B3:L28,MATCH(2,AD4:AD29,0),2)</f>
        <v>1086</v>
      </c>
      <c r="AH27" s="6">
        <f>RANK('1bzr.'!C26,'1bzr.'!$C$3:'1bzr.'!$C$28,1)+COUNTIF('1bzr.'!$C$3:'1bzr.'!C26,'1bzr.'!C26)-1</f>
        <v>25</v>
      </c>
      <c r="AI27" s="115" t="str">
        <f>INDEX('1bzr.'!B3:H28,MATCH(24,AH4:AH29,0),1)</f>
        <v>jasielski</v>
      </c>
      <c r="AJ27" s="6">
        <f>INDEX('1bzr.'!B3:L28,MATCH(24,AH4:AH29,0),2)</f>
        <v>5207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5466</v>
      </c>
      <c r="E28" s="37">
        <f>INDEX('1bzr.'!B3:H28,MATCH(25,B4:B29,0),3)</f>
        <v>5580</v>
      </c>
      <c r="F28" s="6">
        <f>INDEX('1bzr.'!B3:H28,MATCH(25,B4:B29,0),4)</f>
        <v>-114</v>
      </c>
      <c r="G28" s="37">
        <f>INDEX('1bzr.'!B3:H28,MATCH(25,B4:B29,0),6)</f>
        <v>4981</v>
      </c>
      <c r="H28" s="6">
        <f>INDEX('1bzr.'!B3:H28,MATCH(25,B4:B29,0),7)</f>
        <v>485</v>
      </c>
      <c r="V28" s="6">
        <f>RANK('1bzr.'!E27,'1bzr.'!$E$3:'1bzr.'!$E$28,1)+COUNTIF('1bzr.'!$E$3:'1bzr.'!E27,'1bzr.'!E27)-1</f>
        <v>26</v>
      </c>
      <c r="W28" s="118" t="str">
        <f>INDEX('1bzr.'!B3:H28,MATCH(25,V4:V29,0),1)</f>
        <v>kolbuszowski</v>
      </c>
      <c r="X28" s="6">
        <f>INDEX('1bzr.'!E3:H28,MATCH(25,V4:V29,0),1)</f>
        <v>-24</v>
      </c>
      <c r="Y28" s="166">
        <v>24</v>
      </c>
      <c r="Z28" s="172">
        <f>RANK('1bzr.'!F27,'1bzr.'!$F$3:'1bzr.'!$F$28,1)+COUNTIF('1bzr.'!$F$3:'1bzr.'!F27,'1bzr.'!F27)-1</f>
        <v>20</v>
      </c>
      <c r="AA28" s="155" t="str">
        <f>INDEX('1bzr.'!B3:G28,MATCH(25,Z4:Z29,0),1)</f>
        <v>przemyski</v>
      </c>
      <c r="AB28" s="8">
        <f>INDEX('1bzr.'!D3:H28,MATCH(25,Z4:Z29,0),3)</f>
        <v>-1.4102984585109872</v>
      </c>
      <c r="AC28" s="2"/>
      <c r="AD28" s="6">
        <f>RANK('1bzr.'!C27,'1bzr.'!$C$3:'1bzr.'!$C$28,1)+COUNTIF('1bzr.'!$C$3:'1bzr.'!C27,'1bzr.'!C27)-1</f>
        <v>3</v>
      </c>
      <c r="AE28" s="115" t="str">
        <f>INDEX('1bzr.'!B3:H28,MATCH(1,AD4:AD29,0),1)</f>
        <v>Krosno</v>
      </c>
      <c r="AF28" s="6">
        <f>INDEX('1bzr.'!B3:L28,MATCH(1,AD4:AD29,0),2)</f>
        <v>1017</v>
      </c>
      <c r="AH28" s="6">
        <f>RANK('1bzr.'!C27,'1bzr.'!$C$3:'1bzr.'!$C$28,1)+COUNTIF('1bzr.'!$C$3:'1bzr.'!C27,'1bzr.'!C27)-1</f>
        <v>3</v>
      </c>
      <c r="AI28" s="115" t="str">
        <f>INDEX('1bzr.'!B3:H28,MATCH(25,AH4:AH29,0),1)</f>
        <v>Rzeszów</v>
      </c>
      <c r="AJ28" s="6">
        <f>INDEX('1bzr.'!B3:L28,MATCH(25,AH4:AH29,0),2)</f>
        <v>5466</v>
      </c>
    </row>
    <row r="29" spans="2:36" ht="15" x14ac:dyDescent="0.25">
      <c r="B29" s="35">
        <f>RANK('1bzr.'!C28,'1bzr.'!$C$3:'1bzr.'!$C$28,1)+COUNTIF('1bzr.'!$C$3:'1bzr.'!C28,'1bzr.'!C28)-1</f>
        <v>26</v>
      </c>
      <c r="C29" s="34" t="str">
        <f>INDEX('1bzr.'!B3:H28,MATCH(26,B4:B29,0),1)</f>
        <v>województwo</v>
      </c>
      <c r="D29" s="35">
        <f>INDEX('1bzr.'!B3:H28,MATCH(26,B4:B29,0),2)</f>
        <v>70722</v>
      </c>
      <c r="E29" s="39">
        <f>INDEX('1bzr.'!B3:H28,MATCH(26,B4:B29,0),3)</f>
        <v>72515</v>
      </c>
      <c r="F29" s="35">
        <f>INDEX('1bzr.'!B3:H28,MATCH(26,B4:B29,0),4)</f>
        <v>-1793</v>
      </c>
      <c r="G29" s="39">
        <f>INDEX('1bzr.'!B3:H28,MATCH(26,B4:B29,0),6)</f>
        <v>64974</v>
      </c>
      <c r="H29" s="35">
        <f>INDEX('1bzr.'!B3:H28,MATCH(26,B4:B29,0),7)</f>
        <v>5748</v>
      </c>
      <c r="V29" s="6">
        <f>RANK('1bzr.'!E28,'1bzr.'!$E$3:'1bzr.'!$E$28,1)+COUNTIF('1bzr.'!$E$3:'1bzr.'!E28,'1bzr.'!E28)-1</f>
        <v>1</v>
      </c>
      <c r="W29" s="179" t="str">
        <f>INDEX('1bzr.'!B3:H28,MATCH(26,V4:V29,0),1)</f>
        <v>Tarnobrzeg</v>
      </c>
      <c r="X29" s="6">
        <f>INDEX('1bzr.'!E3:H28,MATCH(26,V4:V29,0),1)</f>
        <v>-21</v>
      </c>
      <c r="Y29" s="166">
        <v>25</v>
      </c>
      <c r="Z29" s="172">
        <f>RANK('1bzr.'!F28,'1bzr.'!$F$3:'1bzr.'!$F$28,1)+COUNTIF('1bzr.'!$F$3:'1bzr.'!F28,'1bzr.'!F28)-1</f>
        <v>11</v>
      </c>
      <c r="AA29" s="155" t="str">
        <f>INDEX('1bzr.'!B3:G28,MATCH(26,Z4:Z29,0),1)</f>
        <v>Przemyśl</v>
      </c>
      <c r="AB29" s="8">
        <f>INDEX('1bzr.'!D3:H28,MATCH(26,Z4:Z29,0),3)</f>
        <v>-0.96413420748168144</v>
      </c>
      <c r="AC29" s="2"/>
      <c r="AD29" s="117">
        <f>RANK('1bzr.'!C28,'1bzr.'!$C$3:'1bzr.'!$C$28,1)+COUNTIF('1bzr.'!$C$3:'1bzr.'!C28,'1bzr.'!C28)-1</f>
        <v>26</v>
      </c>
      <c r="AE29" s="135" t="str">
        <f>INDEX('1bzr.'!B3:H28,MATCH(26,AD4:AD29,0),1)</f>
        <v>województwo</v>
      </c>
      <c r="AF29" s="117">
        <f>INDEX('1bzr.'!B3:L28,MATCH(26,AD4:AD29,0),2)</f>
        <v>70722</v>
      </c>
      <c r="AH29" s="117">
        <f>RANK('1bzr.'!C28,'1bzr.'!$C$3:'1bzr.'!$C$28,1)+COUNTIF('1bzr.'!$C$3:'1bzr.'!C28,'1bzr.'!C28)-1</f>
        <v>26</v>
      </c>
      <c r="AI29" s="135" t="str">
        <f>INDEX('1bzr.'!B3:H28,MATCH(26,AH4:AH29,0),1)</f>
        <v>województwo</v>
      </c>
      <c r="AJ29" s="117">
        <f>INDEX('1bzr.'!B3:L28,MATCH(26,AH4:AH29,0),2)</f>
        <v>70722</v>
      </c>
    </row>
    <row r="30" spans="2:36" x14ac:dyDescent="0.2">
      <c r="F30" s="14"/>
      <c r="H30" s="14"/>
      <c r="X30" s="44">
        <f>SUM(X5:X25)</f>
        <v>-1696</v>
      </c>
      <c r="Y30" s="44"/>
      <c r="Z30" s="44"/>
      <c r="AA30" s="44"/>
      <c r="AB30" s="44"/>
      <c r="AF30" s="136">
        <f>SUM(AF4:AF28)</f>
        <v>70722</v>
      </c>
      <c r="AJ30" s="136">
        <f>SUM(AJ4:AJ28)</f>
        <v>70722</v>
      </c>
    </row>
    <row r="31" spans="2:36" x14ac:dyDescent="0.2">
      <c r="X31" s="44">
        <f>SUM(X26:X29)</f>
        <v>-97</v>
      </c>
    </row>
    <row r="32" spans="2:36" x14ac:dyDescent="0.2">
      <c r="X32" s="14">
        <f>SUM(X30+X31)</f>
        <v>-1793</v>
      </c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1" t="s">
        <v>27</v>
      </c>
      <c r="C2" s="32" t="s">
        <v>88</v>
      </c>
      <c r="D2" s="33" t="s">
        <v>74</v>
      </c>
      <c r="E2" s="32" t="s">
        <v>28</v>
      </c>
      <c r="F2" s="33" t="s">
        <v>89</v>
      </c>
      <c r="G2" s="32" t="s">
        <v>26</v>
      </c>
      <c r="I2" s="31" t="s">
        <v>27</v>
      </c>
      <c r="J2" s="32" t="str">
        <f>T('1bzr.'!C2)</f>
        <v>liczba bezrobotnych ogółem stan na 31-05-'26 r.</v>
      </c>
      <c r="K2" s="32" t="s">
        <v>34</v>
      </c>
      <c r="L2" s="32" t="s">
        <v>42</v>
      </c>
    </row>
    <row r="3" spans="2:12" x14ac:dyDescent="0.2">
      <c r="B3" s="5" t="s">
        <v>0</v>
      </c>
      <c r="C3" s="6">
        <v>467</v>
      </c>
      <c r="D3" s="6">
        <v>498</v>
      </c>
      <c r="E3" s="6">
        <f t="shared" ref="E3:E26" si="0">SUM(C3)-D3</f>
        <v>-31</v>
      </c>
      <c r="F3" s="37">
        <v>446</v>
      </c>
      <c r="G3" s="6">
        <f t="shared" ref="G3:G26" si="1">SUM(C3)-F3</f>
        <v>21</v>
      </c>
      <c r="I3" s="5" t="s">
        <v>0</v>
      </c>
      <c r="J3" s="6">
        <f>SUM('1bzr.'!C3)</f>
        <v>1086</v>
      </c>
      <c r="K3" s="6">
        <f>SUM(C3)</f>
        <v>467</v>
      </c>
      <c r="L3" s="18">
        <f t="shared" ref="L3:L28" si="2">SUM(K3)/J3*100</f>
        <v>43.001841620626152</v>
      </c>
    </row>
    <row r="4" spans="2:12" x14ac:dyDescent="0.2">
      <c r="B4" s="5" t="s">
        <v>1</v>
      </c>
      <c r="C4" s="6">
        <v>1666</v>
      </c>
      <c r="D4" s="6">
        <v>1699</v>
      </c>
      <c r="E4" s="6">
        <f t="shared" si="0"/>
        <v>-33</v>
      </c>
      <c r="F4" s="37">
        <v>1733</v>
      </c>
      <c r="G4" s="6">
        <f t="shared" si="1"/>
        <v>-67</v>
      </c>
      <c r="I4" s="5" t="s">
        <v>1</v>
      </c>
      <c r="J4" s="6">
        <f>SUM('1bzr.'!C4)</f>
        <v>3429</v>
      </c>
      <c r="K4" s="6">
        <f t="shared" ref="K4:K27" si="3">SUM(C4)</f>
        <v>1666</v>
      </c>
      <c r="L4" s="18">
        <f t="shared" si="2"/>
        <v>48.585593467483228</v>
      </c>
    </row>
    <row r="5" spans="2:12" x14ac:dyDescent="0.2">
      <c r="B5" s="5" t="s">
        <v>2</v>
      </c>
      <c r="C5" s="6">
        <v>1637</v>
      </c>
      <c r="D5" s="6">
        <v>1666</v>
      </c>
      <c r="E5" s="6">
        <f t="shared" si="0"/>
        <v>-29</v>
      </c>
      <c r="F5" s="37">
        <v>1272</v>
      </c>
      <c r="G5" s="6">
        <f t="shared" si="1"/>
        <v>365</v>
      </c>
      <c r="I5" s="5" t="s">
        <v>2</v>
      </c>
      <c r="J5" s="6">
        <f>SUM('1bzr.'!C5)</f>
        <v>2882</v>
      </c>
      <c r="K5" s="6">
        <f t="shared" si="3"/>
        <v>1637</v>
      </c>
      <c r="L5" s="18">
        <f t="shared" si="2"/>
        <v>56.80083275503123</v>
      </c>
    </row>
    <row r="6" spans="2:12" x14ac:dyDescent="0.2">
      <c r="B6" s="5" t="s">
        <v>3</v>
      </c>
      <c r="C6" s="6">
        <v>2355</v>
      </c>
      <c r="D6" s="6">
        <v>2427</v>
      </c>
      <c r="E6" s="6">
        <f t="shared" si="0"/>
        <v>-72</v>
      </c>
      <c r="F6" s="37">
        <v>2199</v>
      </c>
      <c r="G6" s="6">
        <f t="shared" si="1"/>
        <v>156</v>
      </c>
      <c r="I6" s="5" t="s">
        <v>3</v>
      </c>
      <c r="J6" s="6">
        <f>SUM('1bzr.'!C6)</f>
        <v>4694</v>
      </c>
      <c r="K6" s="6">
        <f t="shared" si="3"/>
        <v>2355</v>
      </c>
      <c r="L6" s="18">
        <f t="shared" si="2"/>
        <v>50.170430336599914</v>
      </c>
    </row>
    <row r="7" spans="2:12" x14ac:dyDescent="0.2">
      <c r="B7" s="5" t="s">
        <v>4</v>
      </c>
      <c r="C7" s="6">
        <v>2791</v>
      </c>
      <c r="D7" s="6">
        <v>2854</v>
      </c>
      <c r="E7" s="6">
        <f t="shared" si="0"/>
        <v>-63</v>
      </c>
      <c r="F7" s="37">
        <v>2609</v>
      </c>
      <c r="G7" s="6">
        <f t="shared" si="1"/>
        <v>182</v>
      </c>
      <c r="I7" s="5" t="s">
        <v>4</v>
      </c>
      <c r="J7" s="6">
        <f>SUM('1bzr.'!C7)</f>
        <v>5207</v>
      </c>
      <c r="K7" s="6">
        <f t="shared" si="3"/>
        <v>2791</v>
      </c>
      <c r="L7" s="18">
        <f t="shared" si="2"/>
        <v>53.600921835990015</v>
      </c>
    </row>
    <row r="8" spans="2:12" x14ac:dyDescent="0.2">
      <c r="B8" s="5" t="s">
        <v>5</v>
      </c>
      <c r="C8" s="6">
        <v>745</v>
      </c>
      <c r="D8" s="6">
        <v>746</v>
      </c>
      <c r="E8" s="6">
        <f t="shared" si="0"/>
        <v>-1</v>
      </c>
      <c r="F8" s="37">
        <v>692</v>
      </c>
      <c r="G8" s="6">
        <f t="shared" si="1"/>
        <v>53</v>
      </c>
      <c r="I8" s="5" t="s">
        <v>5</v>
      </c>
      <c r="J8" s="6">
        <f>SUM('1bzr.'!C8)</f>
        <v>1645</v>
      </c>
      <c r="K8" s="6">
        <f t="shared" si="3"/>
        <v>745</v>
      </c>
      <c r="L8" s="18">
        <f>SUM(K8)/J8*100</f>
        <v>45.288753799392097</v>
      </c>
    </row>
    <row r="9" spans="2:12" x14ac:dyDescent="0.2">
      <c r="B9" s="9" t="s">
        <v>6</v>
      </c>
      <c r="C9" s="6">
        <v>1252</v>
      </c>
      <c r="D9" s="6">
        <v>1282</v>
      </c>
      <c r="E9" s="6">
        <f t="shared" si="0"/>
        <v>-30</v>
      </c>
      <c r="F9" s="37">
        <v>1291</v>
      </c>
      <c r="G9" s="6">
        <f t="shared" si="1"/>
        <v>-39</v>
      </c>
      <c r="I9" s="9" t="s">
        <v>6</v>
      </c>
      <c r="J9" s="6">
        <f>SUM('1bzr.'!C9)</f>
        <v>2495</v>
      </c>
      <c r="K9" s="6">
        <f t="shared" si="3"/>
        <v>1252</v>
      </c>
      <c r="L9" s="18">
        <f t="shared" si="2"/>
        <v>50.180360721442888</v>
      </c>
    </row>
    <row r="10" spans="2:12" x14ac:dyDescent="0.2">
      <c r="B10" s="5" t="s">
        <v>7</v>
      </c>
      <c r="C10" s="6">
        <v>694</v>
      </c>
      <c r="D10" s="6">
        <v>774</v>
      </c>
      <c r="E10" s="6">
        <f t="shared" si="0"/>
        <v>-80</v>
      </c>
      <c r="F10" s="37">
        <v>696</v>
      </c>
      <c r="G10" s="6">
        <f t="shared" si="1"/>
        <v>-2</v>
      </c>
      <c r="I10" s="5" t="s">
        <v>7</v>
      </c>
      <c r="J10" s="6">
        <f>SUM('1bzr.'!C10)</f>
        <v>1590</v>
      </c>
      <c r="K10" s="6">
        <f t="shared" si="3"/>
        <v>694</v>
      </c>
      <c r="L10" s="18">
        <f t="shared" si="2"/>
        <v>43.647798742138363</v>
      </c>
    </row>
    <row r="11" spans="2:12" x14ac:dyDescent="0.2">
      <c r="B11" s="5" t="s">
        <v>8</v>
      </c>
      <c r="C11" s="6">
        <v>1432</v>
      </c>
      <c r="D11" s="6">
        <v>1484</v>
      </c>
      <c r="E11" s="6">
        <f t="shared" si="0"/>
        <v>-52</v>
      </c>
      <c r="F11" s="37">
        <v>1432</v>
      </c>
      <c r="G11" s="6">
        <f t="shared" si="1"/>
        <v>0</v>
      </c>
      <c r="I11" s="5" t="s">
        <v>8</v>
      </c>
      <c r="J11" s="6">
        <f>SUM('1bzr.'!C11)</f>
        <v>2928</v>
      </c>
      <c r="K11" s="6">
        <f t="shared" si="3"/>
        <v>1432</v>
      </c>
      <c r="L11" s="18">
        <f t="shared" si="2"/>
        <v>48.907103825136609</v>
      </c>
    </row>
    <row r="12" spans="2:12" x14ac:dyDescent="0.2">
      <c r="B12" s="5" t="s">
        <v>9</v>
      </c>
      <c r="C12" s="6">
        <v>707</v>
      </c>
      <c r="D12" s="6">
        <v>733</v>
      </c>
      <c r="E12" s="6">
        <f t="shared" si="0"/>
        <v>-26</v>
      </c>
      <c r="F12" s="37">
        <v>658</v>
      </c>
      <c r="G12" s="6">
        <f t="shared" si="1"/>
        <v>49</v>
      </c>
      <c r="I12" s="5" t="s">
        <v>9</v>
      </c>
      <c r="J12" s="6">
        <f>SUM('1bzr.'!C12)</f>
        <v>1676</v>
      </c>
      <c r="K12" s="6">
        <f t="shared" si="3"/>
        <v>707</v>
      </c>
      <c r="L12" s="18">
        <f t="shared" si="2"/>
        <v>42.183770883054891</v>
      </c>
    </row>
    <row r="13" spans="2:12" x14ac:dyDescent="0.2">
      <c r="B13" s="5" t="s">
        <v>10</v>
      </c>
      <c r="C13" s="6">
        <v>1151</v>
      </c>
      <c r="D13" s="6">
        <v>1155</v>
      </c>
      <c r="E13" s="6">
        <f t="shared" si="0"/>
        <v>-4</v>
      </c>
      <c r="F13" s="37">
        <v>1112</v>
      </c>
      <c r="G13" s="6">
        <f t="shared" si="1"/>
        <v>39</v>
      </c>
      <c r="I13" s="5" t="s">
        <v>10</v>
      </c>
      <c r="J13" s="6">
        <f>SUM('1bzr.'!C13)</f>
        <v>2637</v>
      </c>
      <c r="K13" s="6">
        <f t="shared" si="3"/>
        <v>1151</v>
      </c>
      <c r="L13" s="18">
        <f t="shared" si="2"/>
        <v>43.648084945013274</v>
      </c>
    </row>
    <row r="14" spans="2:12" x14ac:dyDescent="0.2">
      <c r="B14" s="5" t="s">
        <v>11</v>
      </c>
      <c r="C14" s="6">
        <v>1573</v>
      </c>
      <c r="D14" s="6">
        <v>1614</v>
      </c>
      <c r="E14" s="6">
        <f t="shared" si="0"/>
        <v>-41</v>
      </c>
      <c r="F14" s="37">
        <v>1411</v>
      </c>
      <c r="G14" s="6">
        <f t="shared" si="1"/>
        <v>162</v>
      </c>
      <c r="I14" s="5" t="s">
        <v>11</v>
      </c>
      <c r="J14" s="6">
        <f>SUM('1bzr.'!C14)</f>
        <v>3396</v>
      </c>
      <c r="K14" s="6">
        <f t="shared" si="3"/>
        <v>1573</v>
      </c>
      <c r="L14" s="18">
        <f t="shared" si="2"/>
        <v>46.319199057714961</v>
      </c>
    </row>
    <row r="15" spans="2:12" x14ac:dyDescent="0.2">
      <c r="B15" s="5" t="s">
        <v>12</v>
      </c>
      <c r="C15" s="6">
        <v>1396</v>
      </c>
      <c r="D15" s="6">
        <v>1432</v>
      </c>
      <c r="E15" s="6">
        <f t="shared" si="0"/>
        <v>-36</v>
      </c>
      <c r="F15" s="37">
        <v>1386</v>
      </c>
      <c r="G15" s="6">
        <f t="shared" si="1"/>
        <v>10</v>
      </c>
      <c r="I15" s="5" t="s">
        <v>12</v>
      </c>
      <c r="J15" s="6">
        <f>SUM('1bzr.'!C15)</f>
        <v>2964</v>
      </c>
      <c r="K15" s="6">
        <f t="shared" si="3"/>
        <v>1396</v>
      </c>
      <c r="L15" s="18">
        <f t="shared" si="2"/>
        <v>47.098515519568153</v>
      </c>
    </row>
    <row r="16" spans="2:12" x14ac:dyDescent="0.2">
      <c r="B16" s="5" t="s">
        <v>13</v>
      </c>
      <c r="C16" s="6">
        <v>1384</v>
      </c>
      <c r="D16" s="6">
        <v>1413</v>
      </c>
      <c r="E16" s="6">
        <f t="shared" si="0"/>
        <v>-29</v>
      </c>
      <c r="F16" s="37">
        <v>1346</v>
      </c>
      <c r="G16" s="6">
        <f t="shared" si="1"/>
        <v>38</v>
      </c>
      <c r="I16" s="5" t="s">
        <v>13</v>
      </c>
      <c r="J16" s="6">
        <f>SUM('1bzr.'!C16)</f>
        <v>3006</v>
      </c>
      <c r="K16" s="6">
        <f t="shared" si="3"/>
        <v>1384</v>
      </c>
      <c r="L16" s="18">
        <f t="shared" si="2"/>
        <v>46.041250831669991</v>
      </c>
    </row>
    <row r="17" spans="2:12" x14ac:dyDescent="0.2">
      <c r="B17" s="5" t="s">
        <v>14</v>
      </c>
      <c r="C17" s="6">
        <v>1802</v>
      </c>
      <c r="D17" s="6">
        <v>1823</v>
      </c>
      <c r="E17" s="6">
        <f t="shared" si="0"/>
        <v>-21</v>
      </c>
      <c r="F17" s="37">
        <v>1690</v>
      </c>
      <c r="G17" s="6">
        <f t="shared" si="1"/>
        <v>112</v>
      </c>
      <c r="I17" s="5" t="s">
        <v>14</v>
      </c>
      <c r="J17" s="6">
        <f>SUM('1bzr.'!C17)</f>
        <v>3471</v>
      </c>
      <c r="K17" s="6">
        <f t="shared" si="3"/>
        <v>1802</v>
      </c>
      <c r="L17" s="18">
        <f t="shared" si="2"/>
        <v>51.915874387784498</v>
      </c>
    </row>
    <row r="18" spans="2:12" x14ac:dyDescent="0.2">
      <c r="B18" s="5" t="s">
        <v>15</v>
      </c>
      <c r="C18" s="6">
        <v>1355</v>
      </c>
      <c r="D18" s="6">
        <v>1396</v>
      </c>
      <c r="E18" s="6">
        <f t="shared" si="0"/>
        <v>-41</v>
      </c>
      <c r="F18" s="37">
        <v>1329</v>
      </c>
      <c r="G18" s="6">
        <f t="shared" si="1"/>
        <v>26</v>
      </c>
      <c r="I18" s="5" t="s">
        <v>15</v>
      </c>
      <c r="J18" s="6">
        <f>SUM('1bzr.'!C18)</f>
        <v>2784</v>
      </c>
      <c r="K18" s="6">
        <f t="shared" si="3"/>
        <v>1355</v>
      </c>
      <c r="L18" s="18">
        <f t="shared" si="2"/>
        <v>48.670977011494251</v>
      </c>
    </row>
    <row r="19" spans="2:12" x14ac:dyDescent="0.2">
      <c r="B19" s="5" t="s">
        <v>16</v>
      </c>
      <c r="C19" s="6">
        <v>2222</v>
      </c>
      <c r="D19" s="6">
        <v>2296</v>
      </c>
      <c r="E19" s="6">
        <f t="shared" si="0"/>
        <v>-74</v>
      </c>
      <c r="F19" s="37">
        <v>2079</v>
      </c>
      <c r="G19" s="6">
        <f t="shared" si="1"/>
        <v>143</v>
      </c>
      <c r="I19" s="5" t="s">
        <v>16</v>
      </c>
      <c r="J19" s="6">
        <f>SUM('1bzr.'!C19)</f>
        <v>4771</v>
      </c>
      <c r="K19" s="6">
        <f t="shared" si="3"/>
        <v>2222</v>
      </c>
      <c r="L19" s="18">
        <f t="shared" si="2"/>
        <v>46.573045483127231</v>
      </c>
    </row>
    <row r="20" spans="2:12" x14ac:dyDescent="0.2">
      <c r="B20" s="5" t="s">
        <v>17</v>
      </c>
      <c r="C20" s="6">
        <v>1379</v>
      </c>
      <c r="D20" s="6">
        <v>1452</v>
      </c>
      <c r="E20" s="6">
        <f t="shared" si="0"/>
        <v>-73</v>
      </c>
      <c r="F20" s="37">
        <v>1389</v>
      </c>
      <c r="G20" s="6">
        <f t="shared" si="1"/>
        <v>-10</v>
      </c>
      <c r="I20" s="5" t="s">
        <v>17</v>
      </c>
      <c r="J20" s="6">
        <f>SUM('1bzr.'!C20)</f>
        <v>3019</v>
      </c>
      <c r="K20" s="6">
        <f t="shared" si="3"/>
        <v>1379</v>
      </c>
      <c r="L20" s="18">
        <f t="shared" si="2"/>
        <v>45.677376614773102</v>
      </c>
    </row>
    <row r="21" spans="2:12" x14ac:dyDescent="0.2">
      <c r="B21" s="5" t="s">
        <v>18</v>
      </c>
      <c r="C21" s="6">
        <v>1153</v>
      </c>
      <c r="D21" s="6">
        <v>1233</v>
      </c>
      <c r="E21" s="6">
        <f t="shared" si="0"/>
        <v>-80</v>
      </c>
      <c r="F21" s="37">
        <v>1105</v>
      </c>
      <c r="G21" s="6">
        <f t="shared" si="1"/>
        <v>48</v>
      </c>
      <c r="I21" s="5" t="s">
        <v>18</v>
      </c>
      <c r="J21" s="6">
        <f>SUM('1bzr.'!C21)</f>
        <v>2404</v>
      </c>
      <c r="K21" s="6">
        <f t="shared" si="3"/>
        <v>1153</v>
      </c>
      <c r="L21" s="18">
        <f t="shared" si="2"/>
        <v>47.961730449251249</v>
      </c>
    </row>
    <row r="22" spans="2:12" x14ac:dyDescent="0.2">
      <c r="B22" s="5" t="s">
        <v>19</v>
      </c>
      <c r="C22" s="6">
        <v>1419</v>
      </c>
      <c r="D22" s="6">
        <v>1467</v>
      </c>
      <c r="E22" s="6">
        <f t="shared" si="0"/>
        <v>-48</v>
      </c>
      <c r="F22" s="37">
        <v>1452</v>
      </c>
      <c r="G22" s="6">
        <f t="shared" si="1"/>
        <v>-33</v>
      </c>
      <c r="I22" s="5" t="s">
        <v>19</v>
      </c>
      <c r="J22" s="6">
        <f>SUM('1bzr.'!C22)</f>
        <v>3008</v>
      </c>
      <c r="K22" s="6">
        <f t="shared" si="3"/>
        <v>1419</v>
      </c>
      <c r="L22" s="18">
        <f t="shared" si="2"/>
        <v>47.174202127659576</v>
      </c>
    </row>
    <row r="23" spans="2:12" x14ac:dyDescent="0.2">
      <c r="B23" s="5" t="s">
        <v>20</v>
      </c>
      <c r="C23" s="6">
        <v>703</v>
      </c>
      <c r="D23" s="6">
        <v>725</v>
      </c>
      <c r="E23" s="6">
        <f t="shared" si="0"/>
        <v>-22</v>
      </c>
      <c r="F23" s="37">
        <v>601</v>
      </c>
      <c r="G23" s="6">
        <f t="shared" si="1"/>
        <v>102</v>
      </c>
      <c r="I23" s="5" t="s">
        <v>20</v>
      </c>
      <c r="J23" s="6">
        <f>SUM('1bzr.'!C23)</f>
        <v>1390</v>
      </c>
      <c r="K23" s="6">
        <f t="shared" si="3"/>
        <v>703</v>
      </c>
      <c r="L23" s="18">
        <f t="shared" si="2"/>
        <v>50.575539568345327</v>
      </c>
    </row>
    <row r="24" spans="2:12" x14ac:dyDescent="0.2">
      <c r="B24" s="5" t="s">
        <v>21</v>
      </c>
      <c r="C24" s="6">
        <v>523</v>
      </c>
      <c r="D24" s="6">
        <v>543</v>
      </c>
      <c r="E24" s="6">
        <f t="shared" si="0"/>
        <v>-20</v>
      </c>
      <c r="F24" s="37">
        <v>463</v>
      </c>
      <c r="G24" s="6">
        <f t="shared" si="1"/>
        <v>60</v>
      </c>
      <c r="I24" s="5" t="s">
        <v>21</v>
      </c>
      <c r="J24" s="6">
        <f>SUM('1bzr.'!C24)</f>
        <v>1017</v>
      </c>
      <c r="K24" s="6">
        <f t="shared" si="3"/>
        <v>523</v>
      </c>
      <c r="L24" s="18">
        <f t="shared" si="2"/>
        <v>51.425762045231075</v>
      </c>
    </row>
    <row r="25" spans="2:12" x14ac:dyDescent="0.2">
      <c r="B25" s="5" t="s">
        <v>22</v>
      </c>
      <c r="C25" s="6">
        <v>1178</v>
      </c>
      <c r="D25" s="6">
        <v>1185</v>
      </c>
      <c r="E25" s="6">
        <f t="shared" si="0"/>
        <v>-7</v>
      </c>
      <c r="F25" s="37">
        <v>1067</v>
      </c>
      <c r="G25" s="6">
        <f t="shared" si="1"/>
        <v>111</v>
      </c>
      <c r="I25" s="5" t="s">
        <v>22</v>
      </c>
      <c r="J25" s="6">
        <f>SUM('1bzr.'!C25)</f>
        <v>2568</v>
      </c>
      <c r="K25" s="6">
        <f t="shared" si="3"/>
        <v>1178</v>
      </c>
      <c r="L25" s="18">
        <f t="shared" si="2"/>
        <v>45.872274143302185</v>
      </c>
    </row>
    <row r="26" spans="2:12" x14ac:dyDescent="0.2">
      <c r="B26" s="5" t="s">
        <v>23</v>
      </c>
      <c r="C26" s="6">
        <v>2708</v>
      </c>
      <c r="D26" s="6">
        <v>2780</v>
      </c>
      <c r="E26" s="6">
        <f t="shared" si="0"/>
        <v>-72</v>
      </c>
      <c r="F26" s="37">
        <v>2452</v>
      </c>
      <c r="G26" s="6">
        <f t="shared" si="1"/>
        <v>256</v>
      </c>
      <c r="I26" s="5" t="s">
        <v>23</v>
      </c>
      <c r="J26" s="6">
        <f>SUM('1bzr.'!C26)</f>
        <v>5466</v>
      </c>
      <c r="K26" s="6">
        <f t="shared" si="3"/>
        <v>2708</v>
      </c>
      <c r="L26" s="18">
        <f t="shared" si="2"/>
        <v>49.542627149652397</v>
      </c>
    </row>
    <row r="27" spans="2:12" x14ac:dyDescent="0.2">
      <c r="B27" s="5" t="s">
        <v>24</v>
      </c>
      <c r="C27" s="6">
        <v>545</v>
      </c>
      <c r="D27" s="6">
        <v>549</v>
      </c>
      <c r="E27" s="6">
        <f>SUM(C27)-D27</f>
        <v>-4</v>
      </c>
      <c r="F27" s="37">
        <v>499</v>
      </c>
      <c r="G27" s="6">
        <f>SUM(C27)-F27</f>
        <v>46</v>
      </c>
      <c r="I27" s="5" t="s">
        <v>24</v>
      </c>
      <c r="J27" s="6">
        <f>SUM('1bzr.'!C27)</f>
        <v>1189</v>
      </c>
      <c r="K27" s="6">
        <f t="shared" si="3"/>
        <v>545</v>
      </c>
      <c r="L27" s="18">
        <f t="shared" si="2"/>
        <v>45.836837678721615</v>
      </c>
    </row>
    <row r="28" spans="2:12" ht="15" x14ac:dyDescent="0.25">
      <c r="B28" s="34" t="s">
        <v>25</v>
      </c>
      <c r="C28" s="35">
        <f>SUM(C3:C27)</f>
        <v>34237</v>
      </c>
      <c r="D28" s="36">
        <f>SUM(D3:D27)</f>
        <v>35226</v>
      </c>
      <c r="E28" s="35">
        <f>SUM(E3:E27)</f>
        <v>-989</v>
      </c>
      <c r="F28" s="36">
        <f>SUM(F3:F27)</f>
        <v>32409</v>
      </c>
      <c r="G28" s="35">
        <f>SUM(G3:G27)</f>
        <v>1828</v>
      </c>
      <c r="I28" s="34" t="s">
        <v>25</v>
      </c>
      <c r="J28" s="35">
        <f>SUM(J3:J27)</f>
        <v>70722</v>
      </c>
      <c r="K28" s="35">
        <f>SUM(K3:K27)</f>
        <v>34237</v>
      </c>
      <c r="L28" s="40">
        <f t="shared" si="2"/>
        <v>48.410678431039841</v>
      </c>
    </row>
    <row r="29" spans="2:12" x14ac:dyDescent="0.2">
      <c r="C29" s="14"/>
      <c r="E29" s="14"/>
      <c r="F29" s="7"/>
    </row>
    <row r="30" spans="2:12" x14ac:dyDescent="0.2">
      <c r="D30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T('2kob.'!B2)</f>
        <v>powiaty</v>
      </c>
      <c r="D3" s="31" t="str">
        <f>T('2kob.'!C2)</f>
        <v>liczba bezrobotnych kobiet stan na 31-05-'26 r.</v>
      </c>
      <c r="E3" s="31" t="str">
        <f>T('2kob.'!D2)</f>
        <v>liczba bezrobotnych kobiet stan na 30-04-'26 r.</v>
      </c>
      <c r="F3" s="31" t="str">
        <f>T('2kob.'!E2)</f>
        <v>wzrost/spadek do poprzedniego  miesiąca</v>
      </c>
      <c r="G3" s="31" t="str">
        <f>T('2kob.'!F2)</f>
        <v>liczba bezrobotnych kobiet stan na 31-05-'25 r.</v>
      </c>
      <c r="H3" s="31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19">
        <f>INDEX('2kob.'!B3:G28,MATCH(1,B4:B29,0),2)</f>
        <v>467</v>
      </c>
      <c r="E4" s="37">
        <f>INDEX('2kob.'!B3:G28,MATCH(1,B4:B29,0),3)</f>
        <v>498</v>
      </c>
      <c r="F4" s="6">
        <f>INDEX('2kob.'!B3:G28,MATCH(1,B4:B29,0),4)</f>
        <v>-31</v>
      </c>
      <c r="G4" s="37">
        <f>INDEX('2kob.'!B3:G28,MATCH(1,B4:B29,0),5)</f>
        <v>446</v>
      </c>
      <c r="H4" s="6">
        <f>INDEX('2kob.'!B3:G28,MATCH(1,B4:B29,0),6)</f>
        <v>21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523</v>
      </c>
      <c r="E5" s="37">
        <f>INDEX('2kob.'!B3:G28,MATCH(2,B4:B29,0),3)</f>
        <v>543</v>
      </c>
      <c r="F5" s="6">
        <f>INDEX('2kob.'!B3:G28,MATCH(2,B4:B29,0),4)</f>
        <v>-20</v>
      </c>
      <c r="G5" s="37">
        <f>INDEX('2kob.'!B3:G28,MATCH(2,B4:B29,0),5)</f>
        <v>463</v>
      </c>
      <c r="H5" s="6">
        <f>INDEX('2kob.'!B3:G28,MATCH(2,B4:B29,0),6)</f>
        <v>60</v>
      </c>
    </row>
    <row r="6" spans="2:8" x14ac:dyDescent="0.2">
      <c r="B6" s="6">
        <f>RANK('2kob.'!C5,'2kob.'!$C$3:'2kob.'!$C$28,1)+COUNTIF('2kob.'!$C$3:'2kob.'!C5,'2kob.'!C5)-1</f>
        <v>19</v>
      </c>
      <c r="C6" s="5" t="str">
        <f>INDEX('2kob.'!B3:G28,MATCH(3,B4:B29,0),1)</f>
        <v>Tarnobrzeg</v>
      </c>
      <c r="D6" s="6">
        <f>INDEX('2kob.'!B3:G28,MATCH(3,B4:B29,0),2)</f>
        <v>545</v>
      </c>
      <c r="E6" s="37">
        <f>INDEX('2kob.'!B3:G28,MATCH(3,B4:B29,0),3)</f>
        <v>549</v>
      </c>
      <c r="F6" s="6">
        <f>INDEX('2kob.'!B3:G28,MATCH(3,B4:B29,0),4)</f>
        <v>-4</v>
      </c>
      <c r="G6" s="37">
        <f>INDEX('2kob.'!B3:G28,MATCH(3,B4:B29,0),5)</f>
        <v>499</v>
      </c>
      <c r="H6" s="6">
        <f>INDEX('2kob.'!B3:G28,MATCH(3,B4:B29,0),6)</f>
        <v>46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>leski</v>
      </c>
      <c r="D7" s="6">
        <f>INDEX('2kob.'!B3:G28,MATCH(4,B4:B29,0),2)</f>
        <v>694</v>
      </c>
      <c r="E7" s="37">
        <f>INDEX('2kob.'!B3:G28,MATCH(4,B4:B29,0),3)</f>
        <v>774</v>
      </c>
      <c r="F7" s="6">
        <f>INDEX('2kob.'!B3:G28,MATCH(4,B4:B29,0),4)</f>
        <v>-80</v>
      </c>
      <c r="G7" s="37">
        <f>INDEX('2kob.'!B3:G28,MATCH(4,B4:B29,0),5)</f>
        <v>696</v>
      </c>
      <c r="H7" s="6">
        <f>INDEX('2kob.'!B3:G28,MATCH(4,B4:B29,0),6)</f>
        <v>-2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 xml:space="preserve">tarnobrzeski </v>
      </c>
      <c r="D8" s="6">
        <f>INDEX('2kob.'!B3:G28,MATCH(5,B4:B29,0),2)</f>
        <v>703</v>
      </c>
      <c r="E8" s="37">
        <f>INDEX('2kob.'!B3:G28,MATCH(5,B4:B29,0),3)</f>
        <v>725</v>
      </c>
      <c r="F8" s="6">
        <f>INDEX('2kob.'!B3:G28,MATCH(5,B4:B29,0),4)</f>
        <v>-22</v>
      </c>
      <c r="G8" s="37">
        <f>INDEX('2kob.'!B3:G28,MATCH(5,B4:B29,0),5)</f>
        <v>601</v>
      </c>
      <c r="H8" s="6">
        <f>INDEX('2kob.'!B3:G28,MATCH(5,B4:B29,0),6)</f>
        <v>102</v>
      </c>
    </row>
    <row r="9" spans="2:8" x14ac:dyDescent="0.2">
      <c r="B9" s="6">
        <f>RANK('2kob.'!C8,'2kob.'!$C$3:'2kob.'!$C$28,1)+COUNTIF('2kob.'!$C$3:'2kob.'!C8,'2kob.'!C8)-1</f>
        <v>7</v>
      </c>
      <c r="C9" s="5" t="str">
        <f>INDEX('2kob.'!B3:G28,MATCH(6,B4:B29,0),1)</f>
        <v>lubaczowski</v>
      </c>
      <c r="D9" s="6">
        <f>INDEX('2kob.'!B3:G28,MATCH(6,B4:B29,0),2)</f>
        <v>707</v>
      </c>
      <c r="E9" s="37">
        <f>INDEX('2kob.'!B3:G28,MATCH(6,B4:B29,0),3)</f>
        <v>733</v>
      </c>
      <c r="F9" s="6">
        <f>INDEX('2kob.'!B3:G28,MATCH(6,B4:B29,0),4)</f>
        <v>-26</v>
      </c>
      <c r="G9" s="37">
        <f>INDEX('2kob.'!B3:G28,MATCH(6,B4:B29,0),5)</f>
        <v>658</v>
      </c>
      <c r="H9" s="6">
        <f>INDEX('2kob.'!B3:G28,MATCH(6,B4:B29,0),6)</f>
        <v>49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kolbuszowski</v>
      </c>
      <c r="D10" s="6">
        <f>INDEX('2kob.'!B3:G28,MATCH(7,B4:B29,0),2)</f>
        <v>745</v>
      </c>
      <c r="E10" s="37">
        <f>INDEX('2kob.'!B3:G28,MATCH(7,B4:B29,0),3)</f>
        <v>746</v>
      </c>
      <c r="F10" s="6">
        <f>INDEX('2kob.'!B3:G28,MATCH(7,B4:B29,0),4)</f>
        <v>-1</v>
      </c>
      <c r="G10" s="37">
        <f>INDEX('2kob.'!B3:G28,MATCH(7,B4:B29,0),5)</f>
        <v>692</v>
      </c>
      <c r="H10" s="6">
        <f>INDEX('2kob.'!B3:G28,MATCH(7,B4:B29,0),6)</f>
        <v>53</v>
      </c>
    </row>
    <row r="11" spans="2:8" x14ac:dyDescent="0.2">
      <c r="B11" s="6">
        <f>RANK('2kob.'!C10,'2kob.'!$C$3:'2kob.'!$C$28,1)+COUNTIF('2kob.'!$C$3:'2kob.'!C10,'2kob.'!C10)-1</f>
        <v>4</v>
      </c>
      <c r="C11" s="5" t="str">
        <f>INDEX('2kob.'!B3:G28,MATCH(8,B4:B29,0),1)</f>
        <v>łańcucki</v>
      </c>
      <c r="D11" s="6">
        <f>INDEX('2kob.'!B3:G28,MATCH(8,B4:B29,0),2)</f>
        <v>1151</v>
      </c>
      <c r="E11" s="37">
        <f>INDEX('2kob.'!B3:G28,MATCH(8,B4:B29,0),3)</f>
        <v>1155</v>
      </c>
      <c r="F11" s="6">
        <f>INDEX('2kob.'!B3:G28,MATCH(8,B4:B29,0),4)</f>
        <v>-4</v>
      </c>
      <c r="G11" s="37">
        <f>INDEX('2kob.'!B3:G28,MATCH(8,B4:B29,0),5)</f>
        <v>1112</v>
      </c>
      <c r="H11" s="6">
        <f>INDEX('2kob.'!B3:G28,MATCH(8,B4:B29,0),6)</f>
        <v>39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stalowowolski</v>
      </c>
      <c r="D12" s="6">
        <f>INDEX('2kob.'!B3:G28,MATCH(9,B4:B29,0),2)</f>
        <v>1153</v>
      </c>
      <c r="E12" s="37">
        <f>INDEX('2kob.'!B3:G28,MATCH(9,B4:B29,0),3)</f>
        <v>1233</v>
      </c>
      <c r="F12" s="6">
        <f>INDEX('2kob.'!B3:G28,MATCH(9,B4:B29,0),4)</f>
        <v>-80</v>
      </c>
      <c r="G12" s="37">
        <f>INDEX('2kob.'!B3:G28,MATCH(9,B4:B29,0),5)</f>
        <v>1105</v>
      </c>
      <c r="H12" s="6">
        <f>INDEX('2kob.'!B3:G28,MATCH(9,B4:B29,0),6)</f>
        <v>48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Przemyśl</v>
      </c>
      <c r="D13" s="6">
        <f>INDEX('2kob.'!B3:G28,MATCH(10,B4:B29,0),2)</f>
        <v>1178</v>
      </c>
      <c r="E13" s="37">
        <f>INDEX('2kob.'!B3:G28,MATCH(10,B4:B29,0),3)</f>
        <v>1185</v>
      </c>
      <c r="F13" s="6">
        <f>INDEX('2kob.'!B3:G28,MATCH(10,B4:B29,0),4)</f>
        <v>-7</v>
      </c>
      <c r="G13" s="37">
        <f>INDEX('2kob.'!B3:G28,MATCH(10,B4:B29,0),5)</f>
        <v>1067</v>
      </c>
      <c r="H13" s="6">
        <f>INDEX('2kob.'!B3:G28,MATCH(10,B4:B29,0),6)</f>
        <v>111</v>
      </c>
    </row>
    <row r="14" spans="2:8" x14ac:dyDescent="0.2">
      <c r="B14" s="6">
        <f>RANK('2kob.'!C13,'2kob.'!$C$3:'2kob.'!$C$28,1)+COUNTIF('2kob.'!$C$3:'2kob.'!C13,'2kob.'!C13)-1</f>
        <v>8</v>
      </c>
      <c r="C14" s="5" t="str">
        <f>INDEX('2kob.'!B3:G28,MATCH(11,B4:B29,0),1)</f>
        <v>krośnieński</v>
      </c>
      <c r="D14" s="6">
        <f>INDEX('2kob.'!B3:G28,MATCH(11,B4:B29,0),2)</f>
        <v>1252</v>
      </c>
      <c r="E14" s="37">
        <f>INDEX('2kob.'!B3:G28,MATCH(11,B4:B29,0),3)</f>
        <v>1282</v>
      </c>
      <c r="F14" s="6">
        <f>INDEX('2kob.'!B3:G28,MATCH(11,B4:B29,0),4)</f>
        <v>-30</v>
      </c>
      <c r="G14" s="37">
        <f>INDEX('2kob.'!B3:G28,MATCH(11,B4:B29,0),5)</f>
        <v>1291</v>
      </c>
      <c r="H14" s="6">
        <f>INDEX('2kob.'!B3:G28,MATCH(11,B4:B29,0),6)</f>
        <v>-39</v>
      </c>
    </row>
    <row r="15" spans="2:8" x14ac:dyDescent="0.2">
      <c r="B15" s="6">
        <f>RANK('2kob.'!C14,'2kob.'!$C$3:'2kob.'!$C$28,1)+COUNTIF('2kob.'!$C$3:'2kob.'!C14,'2kob.'!C14)-1</f>
        <v>18</v>
      </c>
      <c r="C15" s="5" t="str">
        <f>INDEX('2kob.'!B3:G28,MATCH(12,B4:B29,0),1)</f>
        <v>ropczycko-sędziszowski</v>
      </c>
      <c r="D15" s="6">
        <f>INDEX('2kob.'!B3:G28,MATCH(12,B4:B29,0),2)</f>
        <v>1355</v>
      </c>
      <c r="E15" s="37">
        <f>INDEX('2kob.'!B3:G28,MATCH(12,B4:B29,0),3)</f>
        <v>1396</v>
      </c>
      <c r="F15" s="6">
        <f>INDEX('2kob.'!B3:G28,MATCH(12,B4:B29,0),4)</f>
        <v>-41</v>
      </c>
      <c r="G15" s="37">
        <f>INDEX('2kob.'!B3:G28,MATCH(12,B4:B29,0),5)</f>
        <v>1329</v>
      </c>
      <c r="H15" s="6">
        <f>INDEX('2kob.'!B3:G28,MATCH(12,B4:B29,0),6)</f>
        <v>26</v>
      </c>
    </row>
    <row r="16" spans="2:8" x14ac:dyDescent="0.2">
      <c r="B16" s="6">
        <f>RANK('2kob.'!C15,'2kob.'!$C$3:'2kob.'!$C$28,1)+COUNTIF('2kob.'!$C$3:'2kob.'!C15,'2kob.'!C15)-1</f>
        <v>15</v>
      </c>
      <c r="C16" s="5" t="str">
        <f>INDEX('2kob.'!B3:G28,MATCH(13,B4:B29,0),1)</f>
        <v>sanocki</v>
      </c>
      <c r="D16" s="6">
        <f>INDEX('2kob.'!B3:G28,MATCH(13,B4:B29,0),2)</f>
        <v>1379</v>
      </c>
      <c r="E16" s="37">
        <f>INDEX('2kob.'!B3:G28,MATCH(13,B4:B29,0),3)</f>
        <v>1452</v>
      </c>
      <c r="F16" s="6">
        <f>INDEX('2kob.'!B3:G28,MATCH(13,B4:B29,0),4)</f>
        <v>-73</v>
      </c>
      <c r="G16" s="37">
        <f>INDEX('2kob.'!B3:G28,MATCH(13,B4:B29,0),5)</f>
        <v>1389</v>
      </c>
      <c r="H16" s="6">
        <f>INDEX('2kob.'!B3:G28,MATCH(13,B4:B29,0),6)</f>
        <v>-10</v>
      </c>
    </row>
    <row r="17" spans="2:8" x14ac:dyDescent="0.2">
      <c r="B17" s="6">
        <f>RANK('2kob.'!C16,'2kob.'!$C$3:'2kob.'!$C$28,1)+COUNTIF('2kob.'!$C$3:'2kob.'!C16,'2kob.'!C16)-1</f>
        <v>14</v>
      </c>
      <c r="C17" s="5" t="str">
        <f>INDEX('2kob.'!B3:G28,MATCH(14,B4:B29,0),1)</f>
        <v>przemyski</v>
      </c>
      <c r="D17" s="6">
        <f>INDEX('2kob.'!B3:G28,MATCH(14,B4:B29,0),2)</f>
        <v>1384</v>
      </c>
      <c r="E17" s="37">
        <f>INDEX('2kob.'!B3:G28,MATCH(14,B4:B29,0),3)</f>
        <v>1413</v>
      </c>
      <c r="F17" s="6">
        <f>INDEX('2kob.'!B3:G28,MATCH(14,B4:B29,0),4)</f>
        <v>-29</v>
      </c>
      <c r="G17" s="37">
        <f>INDEX('2kob.'!B3:G28,MATCH(14,B4:B29,0),5)</f>
        <v>1346</v>
      </c>
      <c r="H17" s="6">
        <f>INDEX('2kob.'!B3:G28,MATCH(14,B4:B29,0),6)</f>
        <v>38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niżański</v>
      </c>
      <c r="D18" s="6">
        <f>INDEX('2kob.'!B3:G28,MATCH(15,B4:B29,0),2)</f>
        <v>1396</v>
      </c>
      <c r="E18" s="37">
        <f>INDEX('2kob.'!B3:G28,MATCH(15,B4:B29,0),3)</f>
        <v>1432</v>
      </c>
      <c r="F18" s="6">
        <f>INDEX('2kob.'!B3:G28,MATCH(15,B4:B29,0),4)</f>
        <v>-36</v>
      </c>
      <c r="G18" s="37">
        <f>INDEX('2kob.'!B3:G28,MATCH(15,B4:B29,0),5)</f>
        <v>1386</v>
      </c>
      <c r="H18" s="6">
        <f>INDEX('2kob.'!B3:G28,MATCH(15,B4:B29,0),6)</f>
        <v>10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strzyżowski</v>
      </c>
      <c r="D19" s="6">
        <f>INDEX('2kob.'!B3:G28,MATCH(16,B4:B29,0),2)</f>
        <v>1419</v>
      </c>
      <c r="E19" s="37">
        <f>INDEX('2kob.'!B3:G28,MATCH(16,B4:B29,0),3)</f>
        <v>1467</v>
      </c>
      <c r="F19" s="6">
        <f>INDEX('2kob.'!B3:G28,MATCH(16,B4:B29,0),4)</f>
        <v>-48</v>
      </c>
      <c r="G19" s="37">
        <f>INDEX('2kob.'!B3:G28,MATCH(16,B4:B29,0),5)</f>
        <v>1452</v>
      </c>
      <c r="H19" s="6">
        <f>INDEX('2kob.'!B3:G28,MATCH(16,B4:B29,0),6)</f>
        <v>-33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1432</v>
      </c>
      <c r="E20" s="37">
        <f>INDEX('2kob.'!B3:G28,MATCH(17,B4:B29,0),3)</f>
        <v>1484</v>
      </c>
      <c r="F20" s="6">
        <f>INDEX('2kob.'!B3:G28,MATCH(17,B4:B29,0),4)</f>
        <v>-52</v>
      </c>
      <c r="G20" s="37">
        <f>INDEX('2kob.'!B3:G28,MATCH(17,B4:B29,0),5)</f>
        <v>1432</v>
      </c>
      <c r="H20" s="6">
        <f>INDEX('2kob.'!B3:G28,MATCH(17,B4:B29,0),6)</f>
        <v>0</v>
      </c>
    </row>
    <row r="21" spans="2:8" x14ac:dyDescent="0.2">
      <c r="B21" s="6">
        <f>RANK('2kob.'!C20,'2kob.'!$C$3:'2kob.'!$C$28,1)+COUNTIF('2kob.'!$C$3:'2kob.'!C20,'2kob.'!C20)-1</f>
        <v>13</v>
      </c>
      <c r="C21" s="5" t="str">
        <f>INDEX('2kob.'!B3:G28,MATCH(18,B4:B29,0),1)</f>
        <v>mielecki</v>
      </c>
      <c r="D21" s="6">
        <f>INDEX('2kob.'!B3:G28,MATCH(18,B4:B29,0),2)</f>
        <v>1573</v>
      </c>
      <c r="E21" s="37">
        <f>INDEX('2kob.'!B3:G28,MATCH(18,B4:B29,0),3)</f>
        <v>1614</v>
      </c>
      <c r="F21" s="6">
        <f>INDEX('2kob.'!B3:G28,MATCH(18,B4:B29,0),4)</f>
        <v>-41</v>
      </c>
      <c r="G21" s="37">
        <f>INDEX('2kob.'!B3:G28,MATCH(18,B4:B29,0),5)</f>
        <v>1411</v>
      </c>
      <c r="H21" s="6">
        <f>INDEX('2kob.'!B3:G28,MATCH(18,B4:B29,0),6)</f>
        <v>162</v>
      </c>
    </row>
    <row r="22" spans="2:8" x14ac:dyDescent="0.2">
      <c r="B22" s="6">
        <f>RANK('2kob.'!C21,'2kob.'!$C$3:'2kob.'!$C$28,1)+COUNTIF('2kob.'!$C$3:'2kob.'!C21,'2kob.'!C21)-1</f>
        <v>9</v>
      </c>
      <c r="C22" s="5" t="str">
        <f>INDEX('2kob.'!B3:G28,MATCH(19,B4:B29,0),1)</f>
        <v>dębicki</v>
      </c>
      <c r="D22" s="6">
        <f>INDEX('2kob.'!B3:G28,MATCH(19,B4:B29,0),2)</f>
        <v>1637</v>
      </c>
      <c r="E22" s="37">
        <f>INDEX('2kob.'!B3:G28,MATCH(19,B4:B29,0),3)</f>
        <v>1666</v>
      </c>
      <c r="F22" s="6">
        <f>INDEX('2kob.'!B3:G28,MATCH(19,B4:B29,0),4)</f>
        <v>-29</v>
      </c>
      <c r="G22" s="37">
        <f>INDEX('2kob.'!B3:G28,MATCH(19,B4:B29,0),5)</f>
        <v>1272</v>
      </c>
      <c r="H22" s="6">
        <f>INDEX('2kob.'!B3:G28,MATCH(19,B4:B29,0),6)</f>
        <v>365</v>
      </c>
    </row>
    <row r="23" spans="2:8" x14ac:dyDescent="0.2">
      <c r="B23" s="6">
        <f>RANK('2kob.'!C22,'2kob.'!$C$3:'2kob.'!$C$28,1)+COUNTIF('2kob.'!$C$3:'2kob.'!C22,'2kob.'!C22)-1</f>
        <v>16</v>
      </c>
      <c r="C23" s="5" t="str">
        <f>INDEX('2kob.'!B3:G28,MATCH(20,B4:B29,0),1)</f>
        <v>brzozowski</v>
      </c>
      <c r="D23" s="6">
        <f>INDEX('2kob.'!B3:G28,MATCH(20,B4:B29,0),2)</f>
        <v>1666</v>
      </c>
      <c r="E23" s="37">
        <f>INDEX('2kob.'!B3:G28,MATCH(20,B4:B29,0),3)</f>
        <v>1699</v>
      </c>
      <c r="F23" s="6">
        <f>INDEX('2kob.'!B3:G28,MATCH(20,B4:B29,0),4)</f>
        <v>-33</v>
      </c>
      <c r="G23" s="37">
        <f>INDEX('2kob.'!B3:G28,MATCH(20,B4:B29,0),5)</f>
        <v>1733</v>
      </c>
      <c r="H23" s="6">
        <f>INDEX('2kob.'!B3:G28,MATCH(20,B4:B29,0),6)</f>
        <v>-67</v>
      </c>
    </row>
    <row r="24" spans="2:8" x14ac:dyDescent="0.2">
      <c r="B24" s="6">
        <f>RANK('2kob.'!C23,'2kob.'!$C$3:'2kob.'!$C$28,1)+COUNTIF('2kob.'!$C$3:'2kob.'!C23,'2kob.'!C23)-1</f>
        <v>5</v>
      </c>
      <c r="C24" s="5" t="str">
        <f>INDEX('2kob.'!B3:G28,MATCH(21,B4:B29,0),1)</f>
        <v>przeworski</v>
      </c>
      <c r="D24" s="6">
        <f>INDEX('2kob.'!B3:G28,MATCH(21,B4:B29,0),2)</f>
        <v>1802</v>
      </c>
      <c r="E24" s="37">
        <f>INDEX('2kob.'!B3:G28,MATCH(21,B4:B29,0),3)</f>
        <v>1823</v>
      </c>
      <c r="F24" s="6">
        <f>INDEX('2kob.'!B3:G28,MATCH(21,B4:B29,0),4)</f>
        <v>-21</v>
      </c>
      <c r="G24" s="37">
        <f>INDEX('2kob.'!B3:G28,MATCH(21,B4:B29,0),5)</f>
        <v>1690</v>
      </c>
      <c r="H24" s="6">
        <f>INDEX('2kob.'!B3:G28,MATCH(21,B4:B29,0),6)</f>
        <v>112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2222</v>
      </c>
      <c r="E25" s="37">
        <f>INDEX('2kob.'!B3:G28,MATCH(22,B4:B29,0),3)</f>
        <v>2296</v>
      </c>
      <c r="F25" s="6">
        <f>INDEX('2kob.'!B3:G28,MATCH(22,B4:B29,0),4)</f>
        <v>-74</v>
      </c>
      <c r="G25" s="37">
        <f>INDEX('2kob.'!B3:G28,MATCH(22,B4:B29,0),5)</f>
        <v>2079</v>
      </c>
      <c r="H25" s="6">
        <f>INDEX('2kob.'!B3:G28,MATCH(22,B4:B29,0),6)</f>
        <v>143</v>
      </c>
    </row>
    <row r="26" spans="2:8" x14ac:dyDescent="0.2">
      <c r="B26" s="6">
        <f>RANK('2kob.'!C25,'2kob.'!$C$3:'2kob.'!$C$28,1)+COUNTIF('2kob.'!$C$3:'2kob.'!C25,'2kob.'!C25)-1</f>
        <v>10</v>
      </c>
      <c r="C26" s="5" t="str">
        <f>INDEX('2kob.'!B3:G28,MATCH(23,B4:B29,0),1)</f>
        <v>jarosławski</v>
      </c>
      <c r="D26" s="6">
        <f>INDEX('2kob.'!B3:G28,MATCH(23,B4:B29,0),2)</f>
        <v>2355</v>
      </c>
      <c r="E26" s="37">
        <f>INDEX('2kob.'!B3:G28,MATCH(23,B4:B29,0),3)</f>
        <v>2427</v>
      </c>
      <c r="F26" s="6">
        <f>INDEX('2kob.'!B3:G28,MATCH(23,B4:B29,0),4)</f>
        <v>-72</v>
      </c>
      <c r="G26" s="37">
        <f>INDEX('2kob.'!B3:G28,MATCH(23,B4:B29,0),5)</f>
        <v>2199</v>
      </c>
      <c r="H26" s="6">
        <f>INDEX('2kob.'!B3:G28,MATCH(23,B4:B29,0),6)</f>
        <v>156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2708</v>
      </c>
      <c r="E27" s="37">
        <f>INDEX('2kob.'!B3:G28,MATCH(24,B4:B29,0),3)</f>
        <v>2780</v>
      </c>
      <c r="F27" s="6">
        <f>INDEX('2kob.'!B3:G28,MATCH(24,B4:B29,0),4)</f>
        <v>-72</v>
      </c>
      <c r="G27" s="37">
        <f>INDEX('2kob.'!B3:G28,MATCH(24,B4:B29,0),5)</f>
        <v>2452</v>
      </c>
      <c r="H27" s="6">
        <f>INDEX('2kob.'!B3:G28,MATCH(24,B4:B29,0),6)</f>
        <v>256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2791</v>
      </c>
      <c r="E28" s="37">
        <f>INDEX('2kob.'!B3:G28,MATCH(25,B4:B29,0),3)</f>
        <v>2854</v>
      </c>
      <c r="F28" s="6">
        <f>INDEX('2kob.'!B3:G28,MATCH(25,B4:B29,0),4)</f>
        <v>-63</v>
      </c>
      <c r="G28" s="37">
        <f>INDEX('2kob.'!B3:G28,MATCH(25,B4:B29,0),5)</f>
        <v>2609</v>
      </c>
      <c r="H28" s="6">
        <f>INDEX('2kob.'!B3:G28,MATCH(25,B4:B29,0),6)</f>
        <v>182</v>
      </c>
    </row>
    <row r="29" spans="2:8" ht="15" x14ac:dyDescent="0.25">
      <c r="B29" s="35">
        <f>RANK('2kob.'!C28,'2kob.'!$C$3:'2kob.'!$C$28,1)+COUNTIF('2kob.'!$C$3:'2kob.'!C28,'2kob.'!C28)-1</f>
        <v>26</v>
      </c>
      <c r="C29" s="34" t="str">
        <f>INDEX('2kob.'!B3:G28,MATCH(26,B4:B29,0),1)</f>
        <v>województwo</v>
      </c>
      <c r="D29" s="35">
        <f>INDEX('2kob.'!B3:G28,MATCH(26,B4:B29,0),2)</f>
        <v>34237</v>
      </c>
      <c r="E29" s="39">
        <f>INDEX('2kob.'!B3:G28,MATCH(26,B4:B29,0),3)</f>
        <v>35226</v>
      </c>
      <c r="F29" s="35">
        <f>INDEX('2kob.'!B3:G28,MATCH(26,B4:B29,0),4)</f>
        <v>-989</v>
      </c>
      <c r="G29" s="39">
        <f>INDEX('2kob.'!B3:G28,MATCH(26,B4:B29,0),5)</f>
        <v>32409</v>
      </c>
      <c r="H29" s="35">
        <f>INDEX('2kob.'!B3:G28,MATCH(26,B4:B29,0),6)</f>
        <v>1828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1" t="s">
        <v>27</v>
      </c>
      <c r="C2" s="32" t="s">
        <v>90</v>
      </c>
      <c r="D2" s="33" t="s">
        <v>92</v>
      </c>
      <c r="E2" s="32" t="s">
        <v>28</v>
      </c>
      <c r="F2" s="33" t="s">
        <v>91</v>
      </c>
      <c r="G2" s="32" t="s">
        <v>26</v>
      </c>
      <c r="I2" s="31" t="s">
        <v>27</v>
      </c>
      <c r="J2" s="32" t="str">
        <f>T('1bzr.'!C2)</f>
        <v>liczba bezrobotnych ogółem stan na 31-05-'26 r.</v>
      </c>
      <c r="K2" s="32" t="str">
        <f>T(C2)</f>
        <v>liczba bezrobotnych zam. na wsi stan na 31-05-'26 r.</v>
      </c>
      <c r="L2" s="32" t="s">
        <v>43</v>
      </c>
    </row>
    <row r="3" spans="1:12" x14ac:dyDescent="0.2">
      <c r="A3" s="3">
        <v>1</v>
      </c>
      <c r="B3" s="5" t="s">
        <v>0</v>
      </c>
      <c r="C3" s="182">
        <v>675</v>
      </c>
      <c r="D3" s="37">
        <v>700</v>
      </c>
      <c r="E3" s="6">
        <f t="shared" ref="E3:E23" si="0">SUM(C3)-D3</f>
        <v>-25</v>
      </c>
      <c r="F3" s="37">
        <v>623</v>
      </c>
      <c r="G3" s="6">
        <f t="shared" ref="G3:G23" si="1">SUM(C3)-F3</f>
        <v>52</v>
      </c>
      <c r="H3" s="7"/>
      <c r="I3" s="5" t="s">
        <v>0</v>
      </c>
      <c r="J3" s="6">
        <f>SUM('1bzr.'!C3)</f>
        <v>1086</v>
      </c>
      <c r="K3" s="6">
        <f>SUM(C3)</f>
        <v>675</v>
      </c>
      <c r="L3" s="8">
        <f t="shared" ref="L3:L23" si="2">SUM(K3)/J3*100</f>
        <v>62.15469613259669</v>
      </c>
    </row>
    <row r="4" spans="1:12" x14ac:dyDescent="0.2">
      <c r="A4" s="3">
        <v>2</v>
      </c>
      <c r="B4" s="5" t="s">
        <v>1</v>
      </c>
      <c r="C4" s="183">
        <v>3142</v>
      </c>
      <c r="D4" s="37">
        <v>3215</v>
      </c>
      <c r="E4" s="6">
        <f t="shared" si="0"/>
        <v>-73</v>
      </c>
      <c r="F4" s="37">
        <v>3209</v>
      </c>
      <c r="G4" s="6">
        <f t="shared" si="1"/>
        <v>-67</v>
      </c>
      <c r="H4" s="7"/>
      <c r="I4" s="5" t="s">
        <v>1</v>
      </c>
      <c r="J4" s="6">
        <f>SUM('1bzr.'!C4)</f>
        <v>3429</v>
      </c>
      <c r="K4" s="6">
        <f t="shared" ref="K4:K22" si="3">SUM(C4)</f>
        <v>3142</v>
      </c>
      <c r="L4" s="8">
        <f t="shared" si="2"/>
        <v>91.630212890055404</v>
      </c>
    </row>
    <row r="5" spans="1:12" x14ac:dyDescent="0.2">
      <c r="A5" s="3">
        <v>3</v>
      </c>
      <c r="B5" s="5" t="s">
        <v>2</v>
      </c>
      <c r="C5" s="184">
        <v>1688</v>
      </c>
      <c r="D5" s="37">
        <v>1711</v>
      </c>
      <c r="E5" s="6">
        <f t="shared" si="0"/>
        <v>-23</v>
      </c>
      <c r="F5" s="37">
        <v>1275</v>
      </c>
      <c r="G5" s="6">
        <f t="shared" si="1"/>
        <v>413</v>
      </c>
      <c r="H5" s="7"/>
      <c r="I5" s="5" t="s">
        <v>2</v>
      </c>
      <c r="J5" s="6">
        <f>SUM('1bzr.'!C5)</f>
        <v>2882</v>
      </c>
      <c r="K5" s="6">
        <f t="shared" si="3"/>
        <v>1688</v>
      </c>
      <c r="L5" s="8">
        <f t="shared" si="2"/>
        <v>58.570437196391389</v>
      </c>
    </row>
    <row r="6" spans="1:12" x14ac:dyDescent="0.2">
      <c r="A6" s="3">
        <v>4</v>
      </c>
      <c r="B6" s="5" t="s">
        <v>3</v>
      </c>
      <c r="C6" s="184">
        <v>2907</v>
      </c>
      <c r="D6" s="37">
        <v>3020</v>
      </c>
      <c r="E6" s="6">
        <f t="shared" si="0"/>
        <v>-113</v>
      </c>
      <c r="F6" s="37">
        <v>2703</v>
      </c>
      <c r="G6" s="6">
        <f t="shared" si="1"/>
        <v>204</v>
      </c>
      <c r="H6" s="7"/>
      <c r="I6" s="5" t="s">
        <v>3</v>
      </c>
      <c r="J6" s="6">
        <f>SUM('1bzr.'!C6)</f>
        <v>4694</v>
      </c>
      <c r="K6" s="6">
        <f t="shared" si="3"/>
        <v>2907</v>
      </c>
      <c r="L6" s="8">
        <f t="shared" si="2"/>
        <v>61.93012356199403</v>
      </c>
    </row>
    <row r="7" spans="1:12" x14ac:dyDescent="0.2">
      <c r="A7" s="3">
        <v>5</v>
      </c>
      <c r="B7" s="5" t="s">
        <v>4</v>
      </c>
      <c r="C7" s="184">
        <v>3635</v>
      </c>
      <c r="D7" s="37">
        <v>3711</v>
      </c>
      <c r="E7" s="6">
        <f t="shared" si="0"/>
        <v>-76</v>
      </c>
      <c r="F7" s="37">
        <v>3260</v>
      </c>
      <c r="G7" s="6">
        <f t="shared" si="1"/>
        <v>375</v>
      </c>
      <c r="H7" s="7"/>
      <c r="I7" s="5" t="s">
        <v>4</v>
      </c>
      <c r="J7" s="6">
        <f>SUM('1bzr.'!C7)</f>
        <v>5207</v>
      </c>
      <c r="K7" s="6">
        <f t="shared" si="3"/>
        <v>3635</v>
      </c>
      <c r="L7" s="8">
        <f t="shared" si="2"/>
        <v>69.809871327059724</v>
      </c>
    </row>
    <row r="8" spans="1:12" x14ac:dyDescent="0.2">
      <c r="A8" s="3">
        <v>6</v>
      </c>
      <c r="B8" s="5" t="s">
        <v>5</v>
      </c>
      <c r="C8" s="184">
        <v>1433</v>
      </c>
      <c r="D8" s="37">
        <v>1455</v>
      </c>
      <c r="E8" s="6">
        <f t="shared" si="0"/>
        <v>-22</v>
      </c>
      <c r="F8" s="37">
        <v>1288</v>
      </c>
      <c r="G8" s="6">
        <f t="shared" si="1"/>
        <v>145</v>
      </c>
      <c r="H8" s="7"/>
      <c r="I8" s="5" t="s">
        <v>5</v>
      </c>
      <c r="J8" s="6">
        <f>SUM('1bzr.'!C8)</f>
        <v>1645</v>
      </c>
      <c r="K8" s="6">
        <f t="shared" si="3"/>
        <v>1433</v>
      </c>
      <c r="L8" s="8">
        <f t="shared" si="2"/>
        <v>87.112462006079028</v>
      </c>
    </row>
    <row r="9" spans="1:12" x14ac:dyDescent="0.2">
      <c r="A9" s="3">
        <v>7</v>
      </c>
      <c r="B9" s="9" t="s">
        <v>6</v>
      </c>
      <c r="C9" s="185">
        <v>2226</v>
      </c>
      <c r="D9" s="37">
        <v>2271</v>
      </c>
      <c r="E9" s="6">
        <f t="shared" si="0"/>
        <v>-45</v>
      </c>
      <c r="F9" s="37">
        <v>2125</v>
      </c>
      <c r="G9" s="6">
        <f t="shared" si="1"/>
        <v>101</v>
      </c>
      <c r="H9" s="7"/>
      <c r="I9" s="9" t="s">
        <v>6</v>
      </c>
      <c r="J9" s="6">
        <f>SUM('1bzr.'!C9)</f>
        <v>2495</v>
      </c>
      <c r="K9" s="6">
        <f t="shared" si="3"/>
        <v>2226</v>
      </c>
      <c r="L9" s="8">
        <f t="shared" si="2"/>
        <v>89.218436873747493</v>
      </c>
    </row>
    <row r="10" spans="1:12" x14ac:dyDescent="0.2">
      <c r="A10" s="3">
        <v>8</v>
      </c>
      <c r="B10" s="5" t="s">
        <v>7</v>
      </c>
      <c r="C10" s="186">
        <v>1309</v>
      </c>
      <c r="D10" s="37">
        <v>1414</v>
      </c>
      <c r="E10" s="6">
        <f t="shared" si="0"/>
        <v>-105</v>
      </c>
      <c r="F10" s="37">
        <v>1250</v>
      </c>
      <c r="G10" s="6">
        <f>SUM(C10)-F10</f>
        <v>59</v>
      </c>
      <c r="H10" s="7"/>
      <c r="I10" s="5" t="s">
        <v>7</v>
      </c>
      <c r="J10" s="6">
        <f>SUM('1bzr.'!C10)</f>
        <v>1590</v>
      </c>
      <c r="K10" s="6">
        <f>SUM(C10)</f>
        <v>1309</v>
      </c>
      <c r="L10" s="8">
        <f t="shared" si="2"/>
        <v>82.327044025157235</v>
      </c>
    </row>
    <row r="11" spans="1:12" x14ac:dyDescent="0.2">
      <c r="A11" s="3">
        <v>9</v>
      </c>
      <c r="B11" s="5" t="s">
        <v>8</v>
      </c>
      <c r="C11" s="186">
        <v>2171</v>
      </c>
      <c r="D11" s="37">
        <v>2256</v>
      </c>
      <c r="E11" s="6">
        <f t="shared" si="0"/>
        <v>-85</v>
      </c>
      <c r="F11" s="37">
        <v>2135</v>
      </c>
      <c r="G11" s="6">
        <f t="shared" si="1"/>
        <v>36</v>
      </c>
      <c r="H11" s="7"/>
      <c r="I11" s="5" t="s">
        <v>8</v>
      </c>
      <c r="J11" s="6">
        <f>SUM('1bzr.'!C11)</f>
        <v>2928</v>
      </c>
      <c r="K11" s="6">
        <f t="shared" si="3"/>
        <v>2171</v>
      </c>
      <c r="L11" s="8">
        <f t="shared" si="2"/>
        <v>74.146174863387984</v>
      </c>
    </row>
    <row r="12" spans="1:12" x14ac:dyDescent="0.2">
      <c r="A12" s="3">
        <v>10</v>
      </c>
      <c r="B12" s="5" t="s">
        <v>9</v>
      </c>
      <c r="C12" s="186">
        <v>1072</v>
      </c>
      <c r="D12" s="37">
        <v>1130</v>
      </c>
      <c r="E12" s="6">
        <f t="shared" si="0"/>
        <v>-58</v>
      </c>
      <c r="F12" s="37">
        <v>993</v>
      </c>
      <c r="G12" s="6">
        <f t="shared" si="1"/>
        <v>79</v>
      </c>
      <c r="H12" s="7"/>
      <c r="I12" s="5" t="s">
        <v>9</v>
      </c>
      <c r="J12" s="6">
        <f>SUM('1bzr.'!C12)</f>
        <v>1676</v>
      </c>
      <c r="K12" s="6">
        <f t="shared" si="3"/>
        <v>1072</v>
      </c>
      <c r="L12" s="8">
        <f t="shared" si="2"/>
        <v>63.961813842482094</v>
      </c>
    </row>
    <row r="13" spans="1:12" x14ac:dyDescent="0.2">
      <c r="A13" s="3">
        <v>11</v>
      </c>
      <c r="B13" s="5" t="s">
        <v>10</v>
      </c>
      <c r="C13" s="186">
        <v>2049</v>
      </c>
      <c r="D13" s="37">
        <v>2091</v>
      </c>
      <c r="E13" s="6">
        <f t="shared" si="0"/>
        <v>-42</v>
      </c>
      <c r="F13" s="37">
        <v>1857</v>
      </c>
      <c r="G13" s="6">
        <f t="shared" si="1"/>
        <v>192</v>
      </c>
      <c r="H13" s="7"/>
      <c r="I13" s="5" t="s">
        <v>10</v>
      </c>
      <c r="J13" s="6">
        <f>SUM('1bzr.'!C13)</f>
        <v>2637</v>
      </c>
      <c r="K13" s="6">
        <f t="shared" si="3"/>
        <v>2049</v>
      </c>
      <c r="L13" s="8">
        <f t="shared" si="2"/>
        <v>77.701934015927193</v>
      </c>
    </row>
    <row r="14" spans="1:12" x14ac:dyDescent="0.2">
      <c r="A14" s="3">
        <v>12</v>
      </c>
      <c r="B14" s="5" t="s">
        <v>11</v>
      </c>
      <c r="C14" s="186">
        <v>1716</v>
      </c>
      <c r="D14" s="37">
        <v>1738</v>
      </c>
      <c r="E14" s="6">
        <f t="shared" si="0"/>
        <v>-22</v>
      </c>
      <c r="F14" s="37">
        <v>1478</v>
      </c>
      <c r="G14" s="6">
        <f t="shared" si="1"/>
        <v>238</v>
      </c>
      <c r="H14" s="7"/>
      <c r="I14" s="5" t="s">
        <v>11</v>
      </c>
      <c r="J14" s="6">
        <f>SUM('1bzr.'!C14)</f>
        <v>3396</v>
      </c>
      <c r="K14" s="6">
        <f t="shared" si="3"/>
        <v>1716</v>
      </c>
      <c r="L14" s="8">
        <f t="shared" si="2"/>
        <v>50.53003533568905</v>
      </c>
    </row>
    <row r="15" spans="1:12" x14ac:dyDescent="0.2">
      <c r="A15" s="3">
        <v>13</v>
      </c>
      <c r="B15" s="5" t="s">
        <v>12</v>
      </c>
      <c r="C15" s="186">
        <v>1936</v>
      </c>
      <c r="D15" s="37">
        <v>1998</v>
      </c>
      <c r="E15" s="6">
        <f t="shared" si="0"/>
        <v>-62</v>
      </c>
      <c r="F15" s="37">
        <v>1855</v>
      </c>
      <c r="G15" s="6">
        <f t="shared" si="1"/>
        <v>81</v>
      </c>
      <c r="H15" s="7"/>
      <c r="I15" s="5" t="s">
        <v>12</v>
      </c>
      <c r="J15" s="6">
        <f>SUM('1bzr.'!C15)</f>
        <v>2964</v>
      </c>
      <c r="K15" s="6">
        <f t="shared" si="3"/>
        <v>1936</v>
      </c>
      <c r="L15" s="8">
        <f t="shared" si="2"/>
        <v>65.317139001349517</v>
      </c>
    </row>
    <row r="16" spans="1:12" x14ac:dyDescent="0.2">
      <c r="A16" s="3">
        <v>14</v>
      </c>
      <c r="B16" s="5" t="s">
        <v>13</v>
      </c>
      <c r="C16" s="186">
        <v>2919</v>
      </c>
      <c r="D16" s="37">
        <v>2966</v>
      </c>
      <c r="E16" s="6">
        <f t="shared" si="0"/>
        <v>-47</v>
      </c>
      <c r="F16" s="37">
        <v>2732</v>
      </c>
      <c r="G16" s="6">
        <f t="shared" si="1"/>
        <v>187</v>
      </c>
      <c r="H16" s="7"/>
      <c r="I16" s="5" t="s">
        <v>13</v>
      </c>
      <c r="J16" s="6">
        <f>SUM('1bzr.'!C16)</f>
        <v>3006</v>
      </c>
      <c r="K16" s="6">
        <f t="shared" si="3"/>
        <v>2919</v>
      </c>
      <c r="L16" s="8">
        <f t="shared" si="2"/>
        <v>97.105788423153697</v>
      </c>
    </row>
    <row r="17" spans="1:13" x14ac:dyDescent="0.2">
      <c r="A17" s="3">
        <v>15</v>
      </c>
      <c r="B17" s="5" t="s">
        <v>14</v>
      </c>
      <c r="C17" s="186">
        <v>2596</v>
      </c>
      <c r="D17" s="37">
        <v>2633</v>
      </c>
      <c r="E17" s="6">
        <f t="shared" si="0"/>
        <v>-37</v>
      </c>
      <c r="F17" s="37">
        <v>2439</v>
      </c>
      <c r="G17" s="6">
        <f t="shared" si="1"/>
        <v>157</v>
      </c>
      <c r="H17" s="7"/>
      <c r="I17" s="5" t="s">
        <v>14</v>
      </c>
      <c r="J17" s="6">
        <f>SUM('1bzr.'!C17)</f>
        <v>3471</v>
      </c>
      <c r="K17" s="6">
        <f t="shared" si="3"/>
        <v>2596</v>
      </c>
      <c r="L17" s="8">
        <f t="shared" si="2"/>
        <v>74.791126476519736</v>
      </c>
      <c r="M17" s="10"/>
    </row>
    <row r="18" spans="1:13" x14ac:dyDescent="0.2">
      <c r="A18" s="3">
        <v>16</v>
      </c>
      <c r="B18" s="5" t="s">
        <v>15</v>
      </c>
      <c r="C18" s="186">
        <v>1830</v>
      </c>
      <c r="D18" s="37">
        <v>1863</v>
      </c>
      <c r="E18" s="6">
        <f t="shared" si="0"/>
        <v>-33</v>
      </c>
      <c r="F18" s="37">
        <v>1686</v>
      </c>
      <c r="G18" s="6">
        <f t="shared" si="1"/>
        <v>144</v>
      </c>
      <c r="H18" s="7"/>
      <c r="I18" s="5" t="s">
        <v>15</v>
      </c>
      <c r="J18" s="6">
        <f>SUM('1bzr.'!C18)</f>
        <v>2784</v>
      </c>
      <c r="K18" s="6">
        <f t="shared" si="3"/>
        <v>1830</v>
      </c>
      <c r="L18" s="8">
        <f t="shared" si="2"/>
        <v>65.732758620689651</v>
      </c>
    </row>
    <row r="19" spans="1:13" x14ac:dyDescent="0.2">
      <c r="A19" s="3">
        <v>17</v>
      </c>
      <c r="B19" s="5" t="s">
        <v>16</v>
      </c>
      <c r="C19" s="186">
        <v>3788</v>
      </c>
      <c r="D19" s="37">
        <v>3927</v>
      </c>
      <c r="E19" s="6">
        <f t="shared" si="0"/>
        <v>-139</v>
      </c>
      <c r="F19" s="37">
        <v>3500</v>
      </c>
      <c r="G19" s="6">
        <f t="shared" si="1"/>
        <v>288</v>
      </c>
      <c r="H19" s="7"/>
      <c r="I19" s="5" t="s">
        <v>16</v>
      </c>
      <c r="J19" s="6">
        <f>SUM('1bzr.'!C19)</f>
        <v>4771</v>
      </c>
      <c r="K19" s="6">
        <f t="shared" si="3"/>
        <v>3788</v>
      </c>
      <c r="L19" s="8">
        <f t="shared" si="2"/>
        <v>79.396352965835263</v>
      </c>
    </row>
    <row r="20" spans="1:13" x14ac:dyDescent="0.2">
      <c r="A20" s="3">
        <v>18</v>
      </c>
      <c r="B20" s="5" t="s">
        <v>17</v>
      </c>
      <c r="C20" s="186">
        <v>1740</v>
      </c>
      <c r="D20" s="37">
        <v>1813</v>
      </c>
      <c r="E20" s="6">
        <f t="shared" si="0"/>
        <v>-73</v>
      </c>
      <c r="F20" s="37">
        <v>1691</v>
      </c>
      <c r="G20" s="6">
        <f t="shared" si="1"/>
        <v>49</v>
      </c>
      <c r="H20" s="7"/>
      <c r="I20" s="5" t="s">
        <v>17</v>
      </c>
      <c r="J20" s="6">
        <f>SUM('1bzr.'!C20)</f>
        <v>3019</v>
      </c>
      <c r="K20" s="6">
        <f t="shared" si="3"/>
        <v>1740</v>
      </c>
      <c r="L20" s="8">
        <f t="shared" si="2"/>
        <v>57.634978469691958</v>
      </c>
    </row>
    <row r="21" spans="1:13" x14ac:dyDescent="0.2">
      <c r="A21" s="3">
        <v>19</v>
      </c>
      <c r="B21" s="5" t="s">
        <v>18</v>
      </c>
      <c r="C21" s="186">
        <v>945</v>
      </c>
      <c r="D21" s="37">
        <v>988</v>
      </c>
      <c r="E21" s="6">
        <f t="shared" si="0"/>
        <v>-43</v>
      </c>
      <c r="F21" s="37">
        <v>852</v>
      </c>
      <c r="G21" s="6">
        <f t="shared" si="1"/>
        <v>93</v>
      </c>
      <c r="H21" s="7"/>
      <c r="I21" s="5" t="s">
        <v>18</v>
      </c>
      <c r="J21" s="6">
        <f>SUM('1bzr.'!C21)</f>
        <v>2404</v>
      </c>
      <c r="K21" s="6">
        <f t="shared" si="3"/>
        <v>945</v>
      </c>
      <c r="L21" s="8">
        <f t="shared" si="2"/>
        <v>39.309484193011649</v>
      </c>
    </row>
    <row r="22" spans="1:13" x14ac:dyDescent="0.2">
      <c r="A22" s="3">
        <v>20</v>
      </c>
      <c r="B22" s="5" t="s">
        <v>19</v>
      </c>
      <c r="C22" s="186">
        <v>2675</v>
      </c>
      <c r="D22" s="37">
        <v>2730</v>
      </c>
      <c r="E22" s="6">
        <f t="shared" si="0"/>
        <v>-55</v>
      </c>
      <c r="F22" s="37">
        <v>2611</v>
      </c>
      <c r="G22" s="6">
        <f t="shared" si="1"/>
        <v>64</v>
      </c>
      <c r="H22" s="7"/>
      <c r="I22" s="5" t="s">
        <v>19</v>
      </c>
      <c r="J22" s="6">
        <f>SUM('1bzr.'!C22)</f>
        <v>3008</v>
      </c>
      <c r="K22" s="6">
        <f t="shared" si="3"/>
        <v>2675</v>
      </c>
      <c r="L22" s="8">
        <f t="shared" si="2"/>
        <v>88.92952127659575</v>
      </c>
    </row>
    <row r="23" spans="1:13" x14ac:dyDescent="0.2">
      <c r="A23" s="3">
        <v>21</v>
      </c>
      <c r="B23" s="5" t="s">
        <v>20</v>
      </c>
      <c r="C23" s="186">
        <v>1104</v>
      </c>
      <c r="D23" s="37">
        <v>1144</v>
      </c>
      <c r="E23" s="6">
        <f t="shared" si="0"/>
        <v>-40</v>
      </c>
      <c r="F23" s="37">
        <v>1000</v>
      </c>
      <c r="G23" s="6">
        <f t="shared" si="1"/>
        <v>104</v>
      </c>
      <c r="H23" s="7"/>
      <c r="I23" s="5" t="s">
        <v>20</v>
      </c>
      <c r="J23" s="6">
        <f>SUM('1bzr.'!C23)</f>
        <v>1390</v>
      </c>
      <c r="K23" s="6">
        <f>SUM(C23)</f>
        <v>1104</v>
      </c>
      <c r="L23" s="8">
        <f t="shared" si="2"/>
        <v>79.42446043165468</v>
      </c>
    </row>
    <row r="24" spans="1:13" ht="15" x14ac:dyDescent="0.25">
      <c r="A24" s="3">
        <v>22</v>
      </c>
      <c r="B24" s="34" t="s">
        <v>25</v>
      </c>
      <c r="C24" s="35">
        <f>SUM(C3:C23)</f>
        <v>43556</v>
      </c>
      <c r="D24" s="39">
        <f>SUM(D3:D23)</f>
        <v>44774</v>
      </c>
      <c r="E24" s="35">
        <f>SUM(E3:E23)</f>
        <v>-1218</v>
      </c>
      <c r="F24" s="39">
        <f>SUM(F3:F23)</f>
        <v>40562</v>
      </c>
      <c r="G24" s="35">
        <f>SUM(G3:G23)</f>
        <v>2994</v>
      </c>
      <c r="H24" s="7"/>
      <c r="I24" s="5" t="s">
        <v>21</v>
      </c>
      <c r="J24" s="6">
        <f>SUM('1bzr.'!C24)</f>
        <v>1017</v>
      </c>
      <c r="K24" s="11" t="s">
        <v>29</v>
      </c>
      <c r="L24" s="12" t="s">
        <v>29</v>
      </c>
    </row>
    <row r="25" spans="1:13" x14ac:dyDescent="0.2">
      <c r="C25" s="30"/>
      <c r="I25" s="5" t="s">
        <v>22</v>
      </c>
      <c r="J25" s="6">
        <f>SUM('1bzr.'!C25)</f>
        <v>2568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5466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1189</v>
      </c>
      <c r="K27" s="11" t="s">
        <v>29</v>
      </c>
      <c r="L27" s="12" t="s">
        <v>29</v>
      </c>
    </row>
    <row r="28" spans="1:13" ht="15" x14ac:dyDescent="0.25">
      <c r="H28" s="7"/>
      <c r="I28" s="34" t="s">
        <v>25</v>
      </c>
      <c r="J28" s="35">
        <f>SUM(J3:J27)</f>
        <v>70722</v>
      </c>
      <c r="K28" s="35">
        <f>SUM(K3:K23)</f>
        <v>43556</v>
      </c>
      <c r="L28" s="41">
        <f>SUM(K28)/J28*100</f>
        <v>61.587624784366959</v>
      </c>
    </row>
    <row r="30" spans="1:13" x14ac:dyDescent="0.2">
      <c r="K30" s="14">
        <f>SUM(K28-J28)</f>
        <v>-27166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15"/>
      <c r="D2" s="16"/>
    </row>
    <row r="3" spans="1:8" ht="57" x14ac:dyDescent="0.2">
      <c r="B3" s="38" t="s">
        <v>39</v>
      </c>
      <c r="C3" s="31" t="str">
        <f>T('2kob.'!B2)</f>
        <v>powiaty</v>
      </c>
      <c r="D3" s="31" t="str">
        <f>T('3bezr. na wsi'!C2)</f>
        <v>liczba bezrobotnych zam. na wsi stan na 31-05-'26 r.</v>
      </c>
      <c r="E3" s="31" t="str">
        <f>T('3bezr. na wsi'!D2)</f>
        <v>liczba bezrobotnych zam. na wsi stan na 30-04-'26 r.</v>
      </c>
      <c r="F3" s="31" t="str">
        <f>T('3bezr. na wsi'!E2)</f>
        <v>wzrost/spadek do poprzedniego  miesiąca</v>
      </c>
      <c r="G3" s="31" t="str">
        <f>T('3bezr. na wsi'!F2)</f>
        <v>liczba bezrobotnych zam. na wsi stan na 31-05-'25 r.</v>
      </c>
      <c r="H3" s="31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19">
        <f>INDEX('3bezr. na wsi'!B3:G28,MATCH(1,B4:B25,0),2)</f>
        <v>675</v>
      </c>
      <c r="E4" s="37">
        <f>INDEX('3bezr. na wsi'!B3:G28,MATCH(1,B4:B25,0),3)</f>
        <v>700</v>
      </c>
      <c r="F4" s="6">
        <f>INDEX('3bezr. na wsi'!B3:G28,MATCH(1,B4:B25,0),4)</f>
        <v>-25</v>
      </c>
      <c r="G4" s="37">
        <f>INDEX('3bezr. na wsi'!B3:G28,MATCH(1,B4:B25,0),5)</f>
        <v>623</v>
      </c>
      <c r="H4" s="6">
        <f>INDEX('3bezr. na wsi'!B3:G28,MATCH(1,B4:B25,0),6)</f>
        <v>52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945</v>
      </c>
      <c r="E5" s="37">
        <f>INDEX('3bezr. na wsi'!B3:G28,MATCH(2,B4:B25,0),3)</f>
        <v>988</v>
      </c>
      <c r="F5" s="6">
        <f>INDEX('3bezr. na wsi'!B3:G28,MATCH(2,B4:B25,0),4)</f>
        <v>-43</v>
      </c>
      <c r="G5" s="37">
        <f>INDEX('3bezr. na wsi'!B3:G28,MATCH(2,B4:B25,0),5)</f>
        <v>852</v>
      </c>
      <c r="H5" s="6">
        <f>INDEX('3bezr. na wsi'!B3:G28,MATCH(2,B4:B25,0),6)</f>
        <v>93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1072</v>
      </c>
      <c r="E6" s="37">
        <f>INDEX('3bezr. na wsi'!B3:G28,MATCH(3,B4:B25,0),3)</f>
        <v>1130</v>
      </c>
      <c r="F6" s="6">
        <f>INDEX('3bezr. na wsi'!B3:G28,MATCH(3,B4:B25,0),4)</f>
        <v>-58</v>
      </c>
      <c r="G6" s="37">
        <f>INDEX('3bezr. na wsi'!B3:G28,MATCH(3,B4:B25,0),5)</f>
        <v>993</v>
      </c>
      <c r="H6" s="6">
        <f>INDEX('3bezr. na wsi'!B3:G28,MATCH(3,B4:B25,0),6)</f>
        <v>79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 xml:space="preserve">tarnobrzeski </v>
      </c>
      <c r="D7" s="6">
        <f>INDEX('3bezr. na wsi'!B3:G28,MATCH(4,B4:B25,0),2)</f>
        <v>1104</v>
      </c>
      <c r="E7" s="37">
        <f>INDEX('3bezr. na wsi'!B3:G28,MATCH(4,B4:B25,0),3)</f>
        <v>1144</v>
      </c>
      <c r="F7" s="6">
        <f>INDEX('3bezr. na wsi'!B3:G28,MATCH(4,B4:B25,0),4)</f>
        <v>-40</v>
      </c>
      <c r="G7" s="37">
        <f>INDEX('3bezr. na wsi'!B3:G28,MATCH(4,B4:B25,0),5)</f>
        <v>1000</v>
      </c>
      <c r="H7" s="6">
        <f>INDEX('3bezr. na wsi'!B3:G28,MATCH(4,B4:B25,0),6)</f>
        <v>104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1309</v>
      </c>
      <c r="E8" s="37">
        <f>INDEX('3bezr. na wsi'!B3:G28,MATCH(5,B4:B25,0),3)</f>
        <v>1414</v>
      </c>
      <c r="F8" s="6">
        <f>INDEX('3bezr. na wsi'!B3:G28,MATCH(5,B4:B25,0),4)</f>
        <v>-105</v>
      </c>
      <c r="G8" s="37">
        <f>INDEX('3bezr. na wsi'!B3:G28,MATCH(5,B4:B25,0),5)</f>
        <v>1250</v>
      </c>
      <c r="H8" s="6">
        <f>INDEX('3bezr. na wsi'!B3:G28,MATCH(5,B4:B25,0),6)</f>
        <v>59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1433</v>
      </c>
      <c r="E9" s="37">
        <f>INDEX('3bezr. na wsi'!B3:G28,MATCH(6,B4:B25,0),3)</f>
        <v>1455</v>
      </c>
      <c r="F9" s="6">
        <f>INDEX('3bezr. na wsi'!B3:G28,MATCH(6,B4:B25,0),4)</f>
        <v>-22</v>
      </c>
      <c r="G9" s="37">
        <f>INDEX('3bezr. na wsi'!B3:G28,MATCH(6,B4:B25,0),5)</f>
        <v>1288</v>
      </c>
      <c r="H9" s="6">
        <f>INDEX('3bezr. na wsi'!B3:G28,MATCH(6,B4:B25,0),6)</f>
        <v>145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1688</v>
      </c>
      <c r="E10" s="37">
        <f>INDEX('3bezr. na wsi'!B3:G28,MATCH(7,B4:B25,0),3)</f>
        <v>1711</v>
      </c>
      <c r="F10" s="6">
        <f>INDEX('3bezr. na wsi'!B3:G28,MATCH(7,B4:B25,0),4)</f>
        <v>-23</v>
      </c>
      <c r="G10" s="37">
        <f>INDEX('3bezr. na wsi'!B3:G28,MATCH(7,B4:B25,0),5)</f>
        <v>1275</v>
      </c>
      <c r="H10" s="6">
        <f>INDEX('3bezr. na wsi'!B3:G28,MATCH(7,B4:B25,0),6)</f>
        <v>413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1716</v>
      </c>
      <c r="E11" s="37">
        <f>INDEX('3bezr. na wsi'!B3:G28,MATCH(8,B4:B25,0),3)</f>
        <v>1738</v>
      </c>
      <c r="F11" s="6">
        <f>INDEX('3bezr. na wsi'!B3:G28,MATCH(8,B4:B25,0),4)</f>
        <v>-22</v>
      </c>
      <c r="G11" s="37">
        <f>INDEX('3bezr. na wsi'!B3:G28,MATCH(8,B4:B25,0),5)</f>
        <v>1478</v>
      </c>
      <c r="H11" s="6">
        <f>INDEX('3bezr. na wsi'!B3:G28,MATCH(8,B4:B25,0),6)</f>
        <v>238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1740</v>
      </c>
      <c r="E12" s="37">
        <f>INDEX('3bezr. na wsi'!B3:G28,MATCH(9,B4:B25,0),3)</f>
        <v>1813</v>
      </c>
      <c r="F12" s="6">
        <f>INDEX('3bezr. na wsi'!B3:G28,MATCH(9,B4:B25,0),4)</f>
        <v>-73</v>
      </c>
      <c r="G12" s="37">
        <f>INDEX('3bezr. na wsi'!B3:G28,MATCH(9,B4:B25,0),5)</f>
        <v>1691</v>
      </c>
      <c r="H12" s="6">
        <f>INDEX('3bezr. na wsi'!B3:G28,MATCH(9,B4:B25,0),6)</f>
        <v>49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1830</v>
      </c>
      <c r="E13" s="37">
        <f>INDEX('3bezr. na wsi'!B3:G28,MATCH(10,B4:B25,0),3)</f>
        <v>1863</v>
      </c>
      <c r="F13" s="6">
        <f>INDEX('3bezr. na wsi'!B3:G28,MATCH(10,B4:B25,0),4)</f>
        <v>-33</v>
      </c>
      <c r="G13" s="37">
        <f>INDEX('3bezr. na wsi'!B3:G28,MATCH(10,B4:B25,0),5)</f>
        <v>1686</v>
      </c>
      <c r="H13" s="6">
        <f>INDEX('3bezr. na wsi'!B3:G28,MATCH(10,B4:B25,0),6)</f>
        <v>144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1936</v>
      </c>
      <c r="E14" s="37">
        <f>INDEX('3bezr. na wsi'!B3:G28,MATCH(11,B4:B25,0),3)</f>
        <v>1998</v>
      </c>
      <c r="F14" s="6">
        <f>INDEX('3bezr. na wsi'!B3:G28,MATCH(11,B4:B25,0),4)</f>
        <v>-62</v>
      </c>
      <c r="G14" s="37">
        <f>INDEX('3bezr. na wsi'!B3:G28,MATCH(11,B4:B25,0),5)</f>
        <v>1855</v>
      </c>
      <c r="H14" s="6">
        <f>INDEX('3bezr. na wsi'!B3:G28,MATCH(11,B4:B25,0),6)</f>
        <v>81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2049</v>
      </c>
      <c r="E15" s="37">
        <f>INDEX('3bezr. na wsi'!B3:G28,MATCH(12,B4:B25,0),3)</f>
        <v>2091</v>
      </c>
      <c r="F15" s="6">
        <f>INDEX('3bezr. na wsi'!B3:G28,MATCH(12,B4:B25,0),4)</f>
        <v>-42</v>
      </c>
      <c r="G15" s="37">
        <f>INDEX('3bezr. na wsi'!B3:G28,MATCH(12,B4:B25,0),5)</f>
        <v>1857</v>
      </c>
      <c r="H15" s="6">
        <f>INDEX('3bezr. na wsi'!B3:G28,MATCH(12,B4:B25,0),6)</f>
        <v>192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2171</v>
      </c>
      <c r="E16" s="37">
        <f>INDEX('3bezr. na wsi'!B3:G28,MATCH(13,B4:B25,0),3)</f>
        <v>2256</v>
      </c>
      <c r="F16" s="6">
        <f>INDEX('3bezr. na wsi'!B3:G28,MATCH(13,B4:B25,0),4)</f>
        <v>-85</v>
      </c>
      <c r="G16" s="37">
        <f>INDEX('3bezr. na wsi'!B3:G28,MATCH(13,B4:B25,0),5)</f>
        <v>2135</v>
      </c>
      <c r="H16" s="6">
        <f>INDEX('3bezr. na wsi'!B3:G28,MATCH(13,B4:B25,0),6)</f>
        <v>36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2226</v>
      </c>
      <c r="E17" s="37">
        <f>INDEX('3bezr. na wsi'!B3:G28,MATCH(14,B4:B25,0),3)</f>
        <v>2271</v>
      </c>
      <c r="F17" s="6">
        <f>INDEX('3bezr. na wsi'!B3:G28,MATCH(14,B4:B25,0),4)</f>
        <v>-45</v>
      </c>
      <c r="G17" s="37">
        <f>INDEX('3bezr. na wsi'!B3:G28,MATCH(14,B4:B25,0),5)</f>
        <v>2125</v>
      </c>
      <c r="H17" s="6">
        <f>INDEX('3bezr. na wsi'!B3:G28,MATCH(14,B4:B25,0),6)</f>
        <v>101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2596</v>
      </c>
      <c r="E18" s="37">
        <f>INDEX('3bezr. na wsi'!B3:G28,MATCH(15,B4:B25,0),3)</f>
        <v>2633</v>
      </c>
      <c r="F18" s="6">
        <f>INDEX('3bezr. na wsi'!B3:G28,MATCH(15,B4:B25,0),4)</f>
        <v>-37</v>
      </c>
      <c r="G18" s="37">
        <f>INDEX('3bezr. na wsi'!B3:G28,MATCH(15,B4:B25,0),5)</f>
        <v>2439</v>
      </c>
      <c r="H18" s="6">
        <f>INDEX('3bezr. na wsi'!B3:G28,MATCH(15,B4:B25,0),6)</f>
        <v>157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2675</v>
      </c>
      <c r="E19" s="37">
        <f>INDEX('3bezr. na wsi'!B3:G28,MATCH(16,B4:B25,0),3)</f>
        <v>2730</v>
      </c>
      <c r="F19" s="6">
        <f>INDEX('3bezr. na wsi'!B3:G28,MATCH(16,B4:B25,0),4)</f>
        <v>-55</v>
      </c>
      <c r="G19" s="37">
        <f>INDEX('3bezr. na wsi'!B3:G28,MATCH(16,B4:B25,0),5)</f>
        <v>2611</v>
      </c>
      <c r="H19" s="6">
        <f>INDEX('3bezr. na wsi'!B3:G28,MATCH(16,B4:B25,0),6)</f>
        <v>64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2907</v>
      </c>
      <c r="E20" s="37">
        <f>INDEX('3bezr. na wsi'!B3:G28,MATCH(17,B4:B25,0),3)</f>
        <v>3020</v>
      </c>
      <c r="F20" s="6">
        <f>INDEX('3bezr. na wsi'!B3:G28,MATCH(17,B4:B25,0),4)</f>
        <v>-113</v>
      </c>
      <c r="G20" s="37">
        <f>INDEX('3bezr. na wsi'!B3:G28,MATCH(17,B4:B25,0),5)</f>
        <v>2703</v>
      </c>
      <c r="H20" s="6">
        <f>INDEX('3bezr. na wsi'!B3:G28,MATCH(17,B4:B25,0),6)</f>
        <v>204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2919</v>
      </c>
      <c r="E21" s="37">
        <f>INDEX('3bezr. na wsi'!B3:G28,MATCH(18,B4:B25,0),3)</f>
        <v>2966</v>
      </c>
      <c r="F21" s="6">
        <f>INDEX('3bezr. na wsi'!B3:G28,MATCH(18,B4:B25,0),4)</f>
        <v>-47</v>
      </c>
      <c r="G21" s="37">
        <f>INDEX('3bezr. na wsi'!B3:G28,MATCH(18,B4:B25,0),5)</f>
        <v>2732</v>
      </c>
      <c r="H21" s="6">
        <f>INDEX('3bezr. na wsi'!B3:G28,MATCH(18,B4:B25,0),6)</f>
        <v>187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3142</v>
      </c>
      <c r="E22" s="37">
        <f>INDEX('3bezr. na wsi'!B3:G28,MATCH(19,B4:B25,0),3)</f>
        <v>3215</v>
      </c>
      <c r="F22" s="6">
        <f>INDEX('3bezr. na wsi'!B3:G28,MATCH(19,B4:B25,0),4)</f>
        <v>-73</v>
      </c>
      <c r="G22" s="37">
        <f>INDEX('3bezr. na wsi'!B3:G28,MATCH(19,B4:B25,0),5)</f>
        <v>3209</v>
      </c>
      <c r="H22" s="6">
        <f>INDEX('3bezr. na wsi'!B3:G28,MATCH(19,B4:B25,0),6)</f>
        <v>-67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3635</v>
      </c>
      <c r="E23" s="37">
        <f>INDEX('3bezr. na wsi'!B3:G28,MATCH(20,B4:B25,0),3)</f>
        <v>3711</v>
      </c>
      <c r="F23" s="6">
        <f>INDEX('3bezr. na wsi'!B3:G28,MATCH(20,B4:B25,0),4)</f>
        <v>-76</v>
      </c>
      <c r="G23" s="37">
        <f>INDEX('3bezr. na wsi'!B3:G28,MATCH(20,B4:B25,0),5)</f>
        <v>3260</v>
      </c>
      <c r="H23" s="6">
        <f>INDEX('3bezr. na wsi'!B3:G28,MATCH(20,B4:B25,0),6)</f>
        <v>375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3788</v>
      </c>
      <c r="E24" s="37">
        <f>INDEX('3bezr. na wsi'!B3:G28,MATCH(21,B4:B25,0),3)</f>
        <v>3927</v>
      </c>
      <c r="F24" s="6">
        <f>INDEX('3bezr. na wsi'!B3:G28,MATCH(21,B4:B25,0),4)</f>
        <v>-139</v>
      </c>
      <c r="G24" s="37">
        <f>INDEX('3bezr. na wsi'!B3:G28,MATCH(21,B4:B25,0),5)</f>
        <v>3500</v>
      </c>
      <c r="H24" s="6">
        <f>INDEX('3bezr. na wsi'!B3:G28,MATCH(21,B4:B25,0),6)</f>
        <v>288</v>
      </c>
    </row>
    <row r="25" spans="1:8" ht="15" x14ac:dyDescent="0.25">
      <c r="A25" s="3">
        <v>22</v>
      </c>
      <c r="B25" s="35">
        <f>RANK('3bezr. na wsi'!C24,'3bezr. na wsi'!$C$3:'3bezr. na wsi'!$C$28,1)+COUNTIF('3bezr. na wsi'!$C$3:'3bezr. na wsi'!C24,'3bezr. na wsi'!C24)-1</f>
        <v>22</v>
      </c>
      <c r="C25" s="42" t="str">
        <f>INDEX('3bezr. na wsi'!B3:G28,MATCH(22,B4:B25,0),1)</f>
        <v>województwo</v>
      </c>
      <c r="D25" s="35">
        <f>INDEX('3bezr. na wsi'!B3:G28,MATCH(22,B4:B25,0),2)</f>
        <v>43556</v>
      </c>
      <c r="E25" s="39">
        <f>INDEX('3bezr. na wsi'!B3:G28,MATCH(22,B4:B25,0),3)</f>
        <v>44774</v>
      </c>
      <c r="F25" s="35">
        <f>INDEX('3bezr. na wsi'!B3:G28,MATCH(22,B4:B25,0),4)</f>
        <v>-1218</v>
      </c>
      <c r="G25" s="39">
        <f>INDEX('3bezr. na wsi'!B3:G28,MATCH(22,B4:B25,0),5)</f>
        <v>40562</v>
      </c>
      <c r="H25" s="35">
        <f>INDEX('3bezr. na wsi'!B3:G28,MATCH(22,B4:B25,0),6)</f>
        <v>2994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6" style="3" customWidth="1"/>
    <col min="9" max="9" width="5.42578125" style="3" customWidth="1"/>
    <col min="10" max="13" width="9.140625" style="3" customWidth="1"/>
    <col min="14" max="16384" width="9.140625" style="3"/>
  </cols>
  <sheetData>
    <row r="1" spans="2:8" ht="19.5" customHeight="1" x14ac:dyDescent="0.2">
      <c r="B1" s="1" t="s">
        <v>69</v>
      </c>
      <c r="C1" s="20"/>
      <c r="D1" s="20"/>
      <c r="E1" s="20"/>
      <c r="F1" s="20"/>
      <c r="G1" s="20"/>
    </row>
    <row r="2" spans="2:8" ht="58.5" x14ac:dyDescent="0.2">
      <c r="B2" s="31" t="s">
        <v>27</v>
      </c>
      <c r="C2" s="32" t="s">
        <v>93</v>
      </c>
      <c r="D2" s="33" t="s">
        <v>95</v>
      </c>
      <c r="E2" s="32" t="s">
        <v>28</v>
      </c>
      <c r="F2" s="33" t="s">
        <v>94</v>
      </c>
      <c r="G2" s="32" t="s">
        <v>26</v>
      </c>
    </row>
    <row r="3" spans="2:8" x14ac:dyDescent="0.2">
      <c r="B3" s="5" t="s">
        <v>0</v>
      </c>
      <c r="C3" s="6">
        <v>690</v>
      </c>
      <c r="D3" s="37">
        <v>688</v>
      </c>
      <c r="E3" s="6">
        <f t="shared" ref="E3:E26" si="0">SUM(C3)-D3</f>
        <v>2</v>
      </c>
      <c r="F3" s="37">
        <v>614</v>
      </c>
      <c r="G3" s="6">
        <f t="shared" ref="G3:G27" si="1">SUM(C3)-F3</f>
        <v>76</v>
      </c>
      <c r="H3" s="7"/>
    </row>
    <row r="4" spans="2:8" x14ac:dyDescent="0.2">
      <c r="B4" s="5" t="s">
        <v>1</v>
      </c>
      <c r="C4" s="6">
        <v>2333</v>
      </c>
      <c r="D4" s="37">
        <v>2344</v>
      </c>
      <c r="E4" s="6">
        <f t="shared" si="0"/>
        <v>-11</v>
      </c>
      <c r="F4" s="37">
        <v>2280</v>
      </c>
      <c r="G4" s="6">
        <f t="shared" si="1"/>
        <v>53</v>
      </c>
      <c r="H4" s="7"/>
    </row>
    <row r="5" spans="2:8" x14ac:dyDescent="0.2">
      <c r="B5" s="5" t="s">
        <v>2</v>
      </c>
      <c r="C5" s="6">
        <v>1136</v>
      </c>
      <c r="D5" s="37">
        <v>1118</v>
      </c>
      <c r="E5" s="6">
        <f t="shared" si="0"/>
        <v>18</v>
      </c>
      <c r="F5" s="37">
        <v>918</v>
      </c>
      <c r="G5" s="6">
        <f t="shared" si="1"/>
        <v>218</v>
      </c>
      <c r="H5" s="7"/>
    </row>
    <row r="6" spans="2:8" x14ac:dyDescent="0.2">
      <c r="B6" s="5" t="s">
        <v>3</v>
      </c>
      <c r="C6" s="6">
        <v>2740</v>
      </c>
      <c r="D6" s="37">
        <v>2755</v>
      </c>
      <c r="E6" s="6">
        <f t="shared" si="0"/>
        <v>-15</v>
      </c>
      <c r="F6" s="37">
        <v>2438</v>
      </c>
      <c r="G6" s="6">
        <f t="shared" si="1"/>
        <v>302</v>
      </c>
      <c r="H6" s="7"/>
    </row>
    <row r="7" spans="2:8" x14ac:dyDescent="0.2">
      <c r="B7" s="5" t="s">
        <v>4</v>
      </c>
      <c r="C7" s="6">
        <v>3333</v>
      </c>
      <c r="D7" s="37">
        <v>3344</v>
      </c>
      <c r="E7" s="6">
        <f t="shared" si="0"/>
        <v>-11</v>
      </c>
      <c r="F7" s="37">
        <v>2870</v>
      </c>
      <c r="G7" s="6">
        <f t="shared" si="1"/>
        <v>463</v>
      </c>
      <c r="H7" s="7"/>
    </row>
    <row r="8" spans="2:8" x14ac:dyDescent="0.2">
      <c r="B8" s="5" t="s">
        <v>5</v>
      </c>
      <c r="C8" s="6">
        <v>838</v>
      </c>
      <c r="D8" s="37">
        <v>830</v>
      </c>
      <c r="E8" s="6">
        <f t="shared" si="0"/>
        <v>8</v>
      </c>
      <c r="F8" s="37">
        <v>755</v>
      </c>
      <c r="G8" s="6">
        <f t="shared" si="1"/>
        <v>83</v>
      </c>
      <c r="H8" s="7"/>
    </row>
    <row r="9" spans="2:8" x14ac:dyDescent="0.2">
      <c r="B9" s="9" t="s">
        <v>6</v>
      </c>
      <c r="C9" s="6">
        <v>1234</v>
      </c>
      <c r="D9" s="37">
        <v>1255</v>
      </c>
      <c r="E9" s="6">
        <f t="shared" si="0"/>
        <v>-21</v>
      </c>
      <c r="F9" s="37">
        <v>1063</v>
      </c>
      <c r="G9" s="6">
        <f t="shared" si="1"/>
        <v>171</v>
      </c>
      <c r="H9" s="7"/>
    </row>
    <row r="10" spans="2:8" x14ac:dyDescent="0.2">
      <c r="B10" s="5" t="s">
        <v>7</v>
      </c>
      <c r="C10" s="6">
        <v>1092</v>
      </c>
      <c r="D10" s="37">
        <v>1123</v>
      </c>
      <c r="E10" s="6">
        <f t="shared" si="0"/>
        <v>-31</v>
      </c>
      <c r="F10" s="37">
        <v>1004</v>
      </c>
      <c r="G10" s="6">
        <f t="shared" si="1"/>
        <v>88</v>
      </c>
      <c r="H10" s="7"/>
    </row>
    <row r="11" spans="2:8" x14ac:dyDescent="0.2">
      <c r="B11" s="5" t="s">
        <v>8</v>
      </c>
      <c r="C11" s="6">
        <v>1757</v>
      </c>
      <c r="D11" s="37">
        <v>1785</v>
      </c>
      <c r="E11" s="6">
        <f t="shared" si="0"/>
        <v>-28</v>
      </c>
      <c r="F11" s="37">
        <v>1665</v>
      </c>
      <c r="G11" s="6">
        <f t="shared" si="1"/>
        <v>92</v>
      </c>
      <c r="H11" s="7"/>
    </row>
    <row r="12" spans="2:8" x14ac:dyDescent="0.2">
      <c r="B12" s="5" t="s">
        <v>9</v>
      </c>
      <c r="C12" s="6">
        <v>920</v>
      </c>
      <c r="D12" s="37">
        <v>951</v>
      </c>
      <c r="E12" s="6">
        <f t="shared" si="0"/>
        <v>-31</v>
      </c>
      <c r="F12" s="37">
        <v>820</v>
      </c>
      <c r="G12" s="6">
        <f t="shared" si="1"/>
        <v>100</v>
      </c>
      <c r="H12" s="7"/>
    </row>
    <row r="13" spans="2:8" x14ac:dyDescent="0.2">
      <c r="B13" s="5" t="s">
        <v>10</v>
      </c>
      <c r="C13" s="6">
        <v>1334</v>
      </c>
      <c r="D13" s="37">
        <v>1313</v>
      </c>
      <c r="E13" s="6">
        <f t="shared" si="0"/>
        <v>21</v>
      </c>
      <c r="F13" s="37">
        <v>1145</v>
      </c>
      <c r="G13" s="6">
        <f t="shared" si="1"/>
        <v>189</v>
      </c>
      <c r="H13" s="7"/>
    </row>
    <row r="14" spans="2:8" x14ac:dyDescent="0.2">
      <c r="B14" s="5" t="s">
        <v>11</v>
      </c>
      <c r="C14" s="6">
        <v>1747</v>
      </c>
      <c r="D14" s="37">
        <v>1752</v>
      </c>
      <c r="E14" s="6">
        <f t="shared" si="0"/>
        <v>-5</v>
      </c>
      <c r="F14" s="37">
        <v>1513</v>
      </c>
      <c r="G14" s="6">
        <f t="shared" si="1"/>
        <v>234</v>
      </c>
      <c r="H14" s="7"/>
    </row>
    <row r="15" spans="2:8" x14ac:dyDescent="0.2">
      <c r="B15" s="5" t="s">
        <v>12</v>
      </c>
      <c r="C15" s="6">
        <v>1776</v>
      </c>
      <c r="D15" s="37">
        <v>1790</v>
      </c>
      <c r="E15" s="6">
        <f t="shared" si="0"/>
        <v>-14</v>
      </c>
      <c r="F15" s="37">
        <v>1639</v>
      </c>
      <c r="G15" s="6">
        <f t="shared" si="1"/>
        <v>137</v>
      </c>
      <c r="H15" s="7"/>
    </row>
    <row r="16" spans="2:8" x14ac:dyDescent="0.2">
      <c r="B16" s="5" t="s">
        <v>13</v>
      </c>
      <c r="C16" s="6">
        <v>1798</v>
      </c>
      <c r="D16" s="37">
        <v>1823</v>
      </c>
      <c r="E16" s="6">
        <f t="shared" si="0"/>
        <v>-25</v>
      </c>
      <c r="F16" s="37">
        <v>1629</v>
      </c>
      <c r="G16" s="6">
        <f t="shared" si="1"/>
        <v>169</v>
      </c>
      <c r="H16" s="7"/>
    </row>
    <row r="17" spans="2:8" x14ac:dyDescent="0.2">
      <c r="B17" s="5" t="s">
        <v>14</v>
      </c>
      <c r="C17" s="6">
        <v>2110</v>
      </c>
      <c r="D17" s="37">
        <v>2092</v>
      </c>
      <c r="E17" s="6">
        <f t="shared" si="0"/>
        <v>18</v>
      </c>
      <c r="F17" s="37">
        <v>1922</v>
      </c>
      <c r="G17" s="6">
        <f t="shared" si="1"/>
        <v>188</v>
      </c>
      <c r="H17" s="7"/>
    </row>
    <row r="18" spans="2:8" x14ac:dyDescent="0.2">
      <c r="B18" s="5" t="s">
        <v>15</v>
      </c>
      <c r="C18" s="6">
        <v>1598</v>
      </c>
      <c r="D18" s="37">
        <v>1607</v>
      </c>
      <c r="E18" s="6">
        <f t="shared" si="0"/>
        <v>-9</v>
      </c>
      <c r="F18" s="37">
        <v>1423</v>
      </c>
      <c r="G18" s="6">
        <f t="shared" si="1"/>
        <v>175</v>
      </c>
      <c r="H18" s="7"/>
    </row>
    <row r="19" spans="2:8" x14ac:dyDescent="0.2">
      <c r="B19" s="5" t="s">
        <v>16</v>
      </c>
      <c r="C19" s="6">
        <v>2756</v>
      </c>
      <c r="D19" s="37">
        <v>2800</v>
      </c>
      <c r="E19" s="6">
        <f t="shared" si="0"/>
        <v>-44</v>
      </c>
      <c r="F19" s="37">
        <v>2540</v>
      </c>
      <c r="G19" s="6">
        <f t="shared" si="1"/>
        <v>216</v>
      </c>
      <c r="H19" s="7"/>
    </row>
    <row r="20" spans="2:8" x14ac:dyDescent="0.2">
      <c r="B20" s="5" t="s">
        <v>17</v>
      </c>
      <c r="C20" s="6">
        <v>1766</v>
      </c>
      <c r="D20" s="37">
        <v>1759</v>
      </c>
      <c r="E20" s="6">
        <f t="shared" si="0"/>
        <v>7</v>
      </c>
      <c r="F20" s="37">
        <v>1541</v>
      </c>
      <c r="G20" s="6">
        <f t="shared" si="1"/>
        <v>225</v>
      </c>
      <c r="H20" s="7"/>
    </row>
    <row r="21" spans="2:8" x14ac:dyDescent="0.2">
      <c r="B21" s="5" t="s">
        <v>18</v>
      </c>
      <c r="C21" s="6">
        <v>1186</v>
      </c>
      <c r="D21" s="37">
        <v>1186</v>
      </c>
      <c r="E21" s="6">
        <f t="shared" si="0"/>
        <v>0</v>
      </c>
      <c r="F21" s="37">
        <v>931</v>
      </c>
      <c r="G21" s="6">
        <f t="shared" si="1"/>
        <v>255</v>
      </c>
      <c r="H21" s="7"/>
    </row>
    <row r="22" spans="2:8" x14ac:dyDescent="0.2">
      <c r="B22" s="5" t="s">
        <v>19</v>
      </c>
      <c r="C22" s="6">
        <v>1971</v>
      </c>
      <c r="D22" s="37">
        <v>1988</v>
      </c>
      <c r="E22" s="6">
        <f t="shared" si="0"/>
        <v>-17</v>
      </c>
      <c r="F22" s="37">
        <v>1830</v>
      </c>
      <c r="G22" s="6">
        <f t="shared" si="1"/>
        <v>141</v>
      </c>
      <c r="H22" s="7"/>
    </row>
    <row r="23" spans="2:8" x14ac:dyDescent="0.2">
      <c r="B23" s="5" t="s">
        <v>20</v>
      </c>
      <c r="C23" s="6">
        <v>724</v>
      </c>
      <c r="D23" s="37">
        <v>730</v>
      </c>
      <c r="E23" s="6">
        <f t="shared" si="0"/>
        <v>-6</v>
      </c>
      <c r="F23" s="37">
        <v>607</v>
      </c>
      <c r="G23" s="6">
        <f t="shared" si="1"/>
        <v>117</v>
      </c>
      <c r="H23" s="7"/>
    </row>
    <row r="24" spans="2:8" x14ac:dyDescent="0.2">
      <c r="B24" s="5" t="s">
        <v>21</v>
      </c>
      <c r="C24" s="6">
        <v>448</v>
      </c>
      <c r="D24" s="37">
        <v>452</v>
      </c>
      <c r="E24" s="6">
        <f t="shared" si="0"/>
        <v>-4</v>
      </c>
      <c r="F24" s="37">
        <v>356</v>
      </c>
      <c r="G24" s="6">
        <f t="shared" si="1"/>
        <v>92</v>
      </c>
      <c r="H24" s="7"/>
    </row>
    <row r="25" spans="2:8" x14ac:dyDescent="0.2">
      <c r="B25" s="5" t="s">
        <v>22</v>
      </c>
      <c r="C25" s="21">
        <v>1579</v>
      </c>
      <c r="D25" s="37">
        <v>1556</v>
      </c>
      <c r="E25" s="21">
        <f t="shared" si="0"/>
        <v>23</v>
      </c>
      <c r="F25" s="37">
        <v>1441</v>
      </c>
      <c r="G25" s="6">
        <f t="shared" si="1"/>
        <v>138</v>
      </c>
      <c r="H25" s="7"/>
    </row>
    <row r="26" spans="2:8" x14ac:dyDescent="0.2">
      <c r="B26" s="5" t="s">
        <v>23</v>
      </c>
      <c r="C26" s="21">
        <v>3049</v>
      </c>
      <c r="D26" s="37">
        <v>3027</v>
      </c>
      <c r="E26" s="21">
        <f t="shared" si="0"/>
        <v>22</v>
      </c>
      <c r="F26" s="37">
        <v>2869</v>
      </c>
      <c r="G26" s="6">
        <f t="shared" si="1"/>
        <v>180</v>
      </c>
      <c r="H26" s="7"/>
    </row>
    <row r="27" spans="2:8" x14ac:dyDescent="0.2">
      <c r="B27" s="5" t="s">
        <v>24</v>
      </c>
      <c r="C27" s="21">
        <v>618</v>
      </c>
      <c r="D27" s="37">
        <v>620</v>
      </c>
      <c r="E27" s="21">
        <f>SUM(C27)-D27</f>
        <v>-2</v>
      </c>
      <c r="F27" s="37">
        <v>538</v>
      </c>
      <c r="G27" s="6">
        <f t="shared" si="1"/>
        <v>80</v>
      </c>
      <c r="H27" s="7"/>
    </row>
    <row r="28" spans="2:8" ht="15" x14ac:dyDescent="0.25">
      <c r="B28" s="34" t="s">
        <v>25</v>
      </c>
      <c r="C28" s="35">
        <f>SUM(C3:C27)</f>
        <v>40533</v>
      </c>
      <c r="D28" s="36">
        <f>SUM(D3:D27)</f>
        <v>40688</v>
      </c>
      <c r="E28" s="35">
        <f>SUM(E3:E27)</f>
        <v>-155</v>
      </c>
      <c r="F28" s="36">
        <f>SUM(F3:F27)</f>
        <v>36351</v>
      </c>
      <c r="G28" s="35">
        <f>SUM(G3:G27)</f>
        <v>4182</v>
      </c>
      <c r="H28" s="165">
        <f>SUM(C28/'1bzr.'!C28)*100</f>
        <v>57.313141596674299</v>
      </c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68</v>
      </c>
    </row>
    <row r="31" spans="2:8" x14ac:dyDescent="0.2">
      <c r="B31" s="3" t="s">
        <v>67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69</v>
      </c>
    </row>
    <row r="2" spans="2:8" ht="15" x14ac:dyDescent="0.2">
      <c r="C2" s="15"/>
      <c r="D2" s="16"/>
    </row>
    <row r="3" spans="2:8" ht="71.25" x14ac:dyDescent="0.2">
      <c r="B3" s="38" t="s">
        <v>39</v>
      </c>
      <c r="C3" s="31" t="str">
        <f>T('4długot.'!B2)</f>
        <v>powiaty</v>
      </c>
      <c r="D3" s="31" t="str">
        <f>T('4długot.'!C2)</f>
        <v>liczba bezrobotnych pow. 12 m-cy stan na 31-05-'26 r.</v>
      </c>
      <c r="E3" s="31" t="str">
        <f>T('4długot.'!D2)</f>
        <v>liczba bezrobotnych pow. 12 m-cy stan na 30-04-'26 r.</v>
      </c>
      <c r="F3" s="31" t="str">
        <f>T('4długot.'!E2)</f>
        <v>wzrost/spadek do poprzedniego  miesiąca</v>
      </c>
      <c r="G3" s="31" t="str">
        <f>T('4długot.'!F2)</f>
        <v>liczba bezrobotnych pow. 12 m-cy,  stan na 31-05-'25 r.</v>
      </c>
      <c r="H3" s="31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19">
        <f>INDEX('4długot.'!B3:G28,MATCH(1,B4:B29,0),2)</f>
        <v>448</v>
      </c>
      <c r="E4" s="37">
        <f>INDEX('4długot.'!B3:G28,MATCH(1,B4:B29,0),3)</f>
        <v>452</v>
      </c>
      <c r="F4" s="6">
        <f>INDEX('4długot.'!B3:G28,MATCH(1,B4:B29,0),4)</f>
        <v>-4</v>
      </c>
      <c r="G4" s="37">
        <f>INDEX('4długot.'!B3:G28,MATCH(1,B4:B29,0),5)</f>
        <v>356</v>
      </c>
      <c r="H4" s="6">
        <f>INDEX('4długot.'!B3:G28,MATCH(1,B4:B29,0),6)</f>
        <v>92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618</v>
      </c>
      <c r="E5" s="37">
        <f>INDEX('4długot.'!B3:G28,MATCH(2,B4:B29,0),3)</f>
        <v>620</v>
      </c>
      <c r="F5" s="6">
        <f>INDEX('4długot.'!B3:G28,MATCH(2,B4:B29,0),4)</f>
        <v>-2</v>
      </c>
      <c r="G5" s="37">
        <f>INDEX('4długot.'!B3:G28,MATCH(2,B4:B29,0),5)</f>
        <v>538</v>
      </c>
      <c r="H5" s="6">
        <f>INDEX('4długot.'!B3:G28,MATCH(2,B4:B29,0),6)</f>
        <v>80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>bieszczadzki</v>
      </c>
      <c r="D6" s="6">
        <f>INDEX('4długot.'!B3:G28,MATCH(3,B4:B29,0),2)</f>
        <v>690</v>
      </c>
      <c r="E6" s="37">
        <f>INDEX('4długot.'!B3:G28,MATCH(3,B4:B29,0),3)</f>
        <v>688</v>
      </c>
      <c r="F6" s="6">
        <f>INDEX('4długot.'!B3:G28,MATCH(3,B4:B29,0),4)</f>
        <v>2</v>
      </c>
      <c r="G6" s="37">
        <f>INDEX('4długot.'!B3:G28,MATCH(3,B4:B29,0),5)</f>
        <v>614</v>
      </c>
      <c r="H6" s="6">
        <f>INDEX('4długot.'!B3:G28,MATCH(3,B4:B29,0),6)</f>
        <v>76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724</v>
      </c>
      <c r="E7" s="37">
        <f>INDEX('4długot.'!B3:G28,MATCH(4,B4:B29,0),3)</f>
        <v>730</v>
      </c>
      <c r="F7" s="6">
        <f>INDEX('4długot.'!B3:G28,MATCH(4,B4:B29,0),4)</f>
        <v>-6</v>
      </c>
      <c r="G7" s="37">
        <f>INDEX('4długot.'!B3:G28,MATCH(4,B4:B29,0),5)</f>
        <v>607</v>
      </c>
      <c r="H7" s="6">
        <f>INDEX('4długot.'!B3:G28,MATCH(4,B4:B29,0),6)</f>
        <v>117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838</v>
      </c>
      <c r="E8" s="37">
        <f>INDEX('4długot.'!B3:G28,MATCH(5,B4:B29,0),3)</f>
        <v>830</v>
      </c>
      <c r="F8" s="6">
        <f>INDEX('4długot.'!B3:G28,MATCH(5,B4:B29,0),4)</f>
        <v>8</v>
      </c>
      <c r="G8" s="37">
        <f>INDEX('4długot.'!B3:G28,MATCH(5,B4:B29,0),5)</f>
        <v>755</v>
      </c>
      <c r="H8" s="6">
        <f>INDEX('4długot.'!B3:G28,MATCH(5,B4:B29,0),6)</f>
        <v>83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920</v>
      </c>
      <c r="E9" s="37">
        <f>INDEX('4długot.'!B3:G28,MATCH(6,B4:B29,0),3)</f>
        <v>951</v>
      </c>
      <c r="F9" s="6">
        <f>INDEX('4długot.'!B3:G28,MATCH(6,B4:B29,0),4)</f>
        <v>-31</v>
      </c>
      <c r="G9" s="37">
        <f>INDEX('4długot.'!B3:G28,MATCH(6,B4:B29,0),5)</f>
        <v>820</v>
      </c>
      <c r="H9" s="6">
        <f>INDEX('4długot.'!B3:G28,MATCH(6,B4:B29,0),6)</f>
        <v>100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leski</v>
      </c>
      <c r="D10" s="6">
        <f>INDEX('4długot.'!B3:G28,MATCH(7,B4:B29,0),2)</f>
        <v>1092</v>
      </c>
      <c r="E10" s="37">
        <f>INDEX('4długot.'!B3:G28,MATCH(7,B4:B29,0),3)</f>
        <v>1123</v>
      </c>
      <c r="F10" s="6">
        <f>INDEX('4długot.'!B3:G28,MATCH(7,B4:B29,0),4)</f>
        <v>-31</v>
      </c>
      <c r="G10" s="37">
        <f>INDEX('4długot.'!B3:G28,MATCH(7,B4:B29,0),5)</f>
        <v>1004</v>
      </c>
      <c r="H10" s="6">
        <f>INDEX('4długot.'!B3:G28,MATCH(7,B4:B29,0),6)</f>
        <v>88</v>
      </c>
    </row>
    <row r="11" spans="2:8" x14ac:dyDescent="0.2">
      <c r="B11" s="6">
        <f>RANK('4długot.'!C10,'4długot.'!$C$3:'4długot.'!$C$28,1)+COUNTIF('4długot.'!$C$3:'4długot.'!C10,'4długot.'!C10)-1</f>
        <v>7</v>
      </c>
      <c r="C11" s="5" t="str">
        <f>INDEX('4długot.'!B3:G28,MATCH(8,B4:B29,0),1)</f>
        <v>dębicki</v>
      </c>
      <c r="D11" s="6">
        <f>INDEX('4długot.'!B3:G28,MATCH(8,B4:B29,0),2)</f>
        <v>1136</v>
      </c>
      <c r="E11" s="37">
        <f>INDEX('4długot.'!B3:G28,MATCH(8,B4:B29,0),3)</f>
        <v>1118</v>
      </c>
      <c r="F11" s="6">
        <f>INDEX('4długot.'!B3:G28,MATCH(8,B4:B29,0),4)</f>
        <v>18</v>
      </c>
      <c r="G11" s="37">
        <f>INDEX('4długot.'!B3:G28,MATCH(8,B4:B29,0),5)</f>
        <v>918</v>
      </c>
      <c r="H11" s="6">
        <f>INDEX('4długot.'!B3:G28,MATCH(8,B4:B29,0),6)</f>
        <v>218</v>
      </c>
    </row>
    <row r="12" spans="2:8" x14ac:dyDescent="0.2">
      <c r="B12" s="6">
        <f>RANK('4długot.'!C11,'4długot.'!$C$3:'4długot.'!$C$28,1)+COUNTIF('4długot.'!$C$3:'4długot.'!C11,'4długot.'!C11)-1</f>
        <v>15</v>
      </c>
      <c r="C12" s="5" t="str">
        <f>INDEX('4długot.'!B3:G28,MATCH(9,B4:B29,0),1)</f>
        <v>stalowowolski</v>
      </c>
      <c r="D12" s="6">
        <f>INDEX('4długot.'!B3:G28,MATCH(9,B4:B29,0),2)</f>
        <v>1186</v>
      </c>
      <c r="E12" s="37">
        <f>INDEX('4długot.'!B3:G28,MATCH(9,B4:B29,0),3)</f>
        <v>1186</v>
      </c>
      <c r="F12" s="6">
        <f>INDEX('4długot.'!B3:G28,MATCH(9,B4:B29,0),4)</f>
        <v>0</v>
      </c>
      <c r="G12" s="37">
        <f>INDEX('4długot.'!B3:G28,MATCH(9,B4:B29,0),5)</f>
        <v>931</v>
      </c>
      <c r="H12" s="6">
        <f>INDEX('4długot.'!B3:G28,MATCH(9,B4:B29,0),6)</f>
        <v>255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1234</v>
      </c>
      <c r="E13" s="37">
        <f>INDEX('4długot.'!B3:G28,MATCH(10,B4:B29,0),3)</f>
        <v>1255</v>
      </c>
      <c r="F13" s="6">
        <f>INDEX('4długot.'!B3:G28,MATCH(10,B4:B29,0),4)</f>
        <v>-21</v>
      </c>
      <c r="G13" s="37">
        <f>INDEX('4długot.'!B3:G28,MATCH(10,B4:B29,0),5)</f>
        <v>1063</v>
      </c>
      <c r="H13" s="6">
        <f>INDEX('4długot.'!B3:G28,MATCH(10,B4:B29,0),6)</f>
        <v>171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1334</v>
      </c>
      <c r="E14" s="37">
        <f>INDEX('4długot.'!B3:G28,MATCH(11,B4:B29,0),3)</f>
        <v>1313</v>
      </c>
      <c r="F14" s="6">
        <f>INDEX('4długot.'!B3:G28,MATCH(11,B4:B29,0),4)</f>
        <v>21</v>
      </c>
      <c r="G14" s="37">
        <f>INDEX('4długot.'!B3:G28,MATCH(11,B4:B29,0),5)</f>
        <v>1145</v>
      </c>
      <c r="H14" s="6">
        <f>INDEX('4długot.'!B3:G28,MATCH(11,B4:B29,0),6)</f>
        <v>189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1579</v>
      </c>
      <c r="E15" s="37">
        <f>INDEX('4długot.'!B3:G28,MATCH(12,B4:B29,0),3)</f>
        <v>1556</v>
      </c>
      <c r="F15" s="6">
        <f>INDEX('4długot.'!B3:G28,MATCH(12,B4:B29,0),4)</f>
        <v>23</v>
      </c>
      <c r="G15" s="37">
        <f>INDEX('4długot.'!B3:G28,MATCH(12,B4:B29,0),5)</f>
        <v>1441</v>
      </c>
      <c r="H15" s="6">
        <f>INDEX('4długot.'!B3:G28,MATCH(12,B4:B29,0),6)</f>
        <v>138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ropczycko-sędziszowski</v>
      </c>
      <c r="D16" s="6">
        <f>INDEX('4długot.'!B3:G28,MATCH(13,B4:B29,0),2)</f>
        <v>1598</v>
      </c>
      <c r="E16" s="37">
        <f>INDEX('4długot.'!B3:G28,MATCH(13,B4:B29,0),3)</f>
        <v>1607</v>
      </c>
      <c r="F16" s="6">
        <f>INDEX('4długot.'!B3:G28,MATCH(13,B4:B29,0),4)</f>
        <v>-9</v>
      </c>
      <c r="G16" s="37">
        <f>INDEX('4długot.'!B3:G28,MATCH(13,B4:B29,0),5)</f>
        <v>1423</v>
      </c>
      <c r="H16" s="6">
        <f>INDEX('4długot.'!B3:G28,MATCH(13,B4:B29,0),6)</f>
        <v>175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mielecki</v>
      </c>
      <c r="D17" s="6">
        <f>INDEX('4długot.'!B3:G28,MATCH(14,B4:B29,0),2)</f>
        <v>1747</v>
      </c>
      <c r="E17" s="37">
        <f>INDEX('4długot.'!B3:G28,MATCH(14,B4:B29,0),3)</f>
        <v>1752</v>
      </c>
      <c r="F17" s="6">
        <f>INDEX('4długot.'!B3:G28,MATCH(14,B4:B29,0),4)</f>
        <v>-5</v>
      </c>
      <c r="G17" s="37">
        <f>INDEX('4długot.'!B3:G28,MATCH(14,B4:B29,0),5)</f>
        <v>1513</v>
      </c>
      <c r="H17" s="6">
        <f>INDEX('4długot.'!B3:G28,MATCH(14,B4:B29,0),6)</f>
        <v>234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leżajski</v>
      </c>
      <c r="D18" s="6">
        <f>INDEX('4długot.'!B3:G28,MATCH(15,B4:B29,0),2)</f>
        <v>1757</v>
      </c>
      <c r="E18" s="37">
        <f>INDEX('4długot.'!B3:G28,MATCH(15,B4:B29,0),3)</f>
        <v>1785</v>
      </c>
      <c r="F18" s="6">
        <f>INDEX('4długot.'!B3:G28,MATCH(15,B4:B29,0),4)</f>
        <v>-28</v>
      </c>
      <c r="G18" s="37">
        <f>INDEX('4długot.'!B3:G28,MATCH(15,B4:B29,0),5)</f>
        <v>1665</v>
      </c>
      <c r="H18" s="6">
        <f>INDEX('4długot.'!B3:G28,MATCH(15,B4:B29,0),6)</f>
        <v>92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sanocki</v>
      </c>
      <c r="D19" s="6">
        <f>INDEX('4długot.'!B3:G28,MATCH(16,B4:B29,0),2)</f>
        <v>1766</v>
      </c>
      <c r="E19" s="37">
        <f>INDEX('4długot.'!B3:G28,MATCH(16,B4:B29,0),3)</f>
        <v>1759</v>
      </c>
      <c r="F19" s="6">
        <f>INDEX('4długot.'!B3:G28,MATCH(16,B4:B29,0),4)</f>
        <v>7</v>
      </c>
      <c r="G19" s="37">
        <f>INDEX('4długot.'!B3:G28,MATCH(16,B4:B29,0),5)</f>
        <v>1541</v>
      </c>
      <c r="H19" s="6">
        <f>INDEX('4długot.'!B3:G28,MATCH(16,B4:B29,0),6)</f>
        <v>225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1776</v>
      </c>
      <c r="E20" s="37">
        <f>INDEX('4długot.'!B3:G28,MATCH(17,B4:B29,0),3)</f>
        <v>1790</v>
      </c>
      <c r="F20" s="6">
        <f>INDEX('4długot.'!B3:G28,MATCH(17,B4:B29,0),4)</f>
        <v>-14</v>
      </c>
      <c r="G20" s="37">
        <f>INDEX('4długot.'!B3:G28,MATCH(17,B4:B29,0),5)</f>
        <v>1639</v>
      </c>
      <c r="H20" s="6">
        <f>INDEX('4długot.'!B3:G28,MATCH(17,B4:B29,0),6)</f>
        <v>137</v>
      </c>
    </row>
    <row r="21" spans="2:8" x14ac:dyDescent="0.2">
      <c r="B21" s="6">
        <f>RANK('4długot.'!C20,'4długot.'!$C$3:'4długot.'!$C$28,1)+COUNTIF('4długot.'!$C$3:'4długot.'!C20,'4długot.'!C20)-1</f>
        <v>16</v>
      </c>
      <c r="C21" s="5" t="str">
        <f>INDEX('4długot.'!B3:G28,MATCH(18,B4:B29,0),1)</f>
        <v>przemyski</v>
      </c>
      <c r="D21" s="6">
        <f>INDEX('4długot.'!B3:G28,MATCH(18,B4:B29,0),2)</f>
        <v>1798</v>
      </c>
      <c r="E21" s="37">
        <f>INDEX('4długot.'!B3:G28,MATCH(18,B4:B29,0),3)</f>
        <v>1823</v>
      </c>
      <c r="F21" s="6">
        <f>INDEX('4długot.'!B3:G28,MATCH(18,B4:B29,0),4)</f>
        <v>-25</v>
      </c>
      <c r="G21" s="37">
        <f>INDEX('4długot.'!B3:G28,MATCH(18,B4:B29,0),5)</f>
        <v>1629</v>
      </c>
      <c r="H21" s="6">
        <f>INDEX('4długot.'!B3:G28,MATCH(18,B4:B29,0),6)</f>
        <v>169</v>
      </c>
    </row>
    <row r="22" spans="2:8" x14ac:dyDescent="0.2">
      <c r="B22" s="6">
        <f>RANK('4długot.'!C21,'4długot.'!$C$3:'4długot.'!$C$28,1)+COUNTIF('4długot.'!$C$3:'4długot.'!C21,'4długot.'!C21)-1</f>
        <v>9</v>
      </c>
      <c r="C22" s="5" t="str">
        <f>INDEX('4długot.'!B3:G28,MATCH(19,B4:B29,0),1)</f>
        <v>strzyżowski</v>
      </c>
      <c r="D22" s="6">
        <f>INDEX('4długot.'!B3:G28,MATCH(19,B4:B29,0),2)</f>
        <v>1971</v>
      </c>
      <c r="E22" s="37">
        <f>INDEX('4długot.'!B3:G28,MATCH(19,B4:B29,0),3)</f>
        <v>1988</v>
      </c>
      <c r="F22" s="6">
        <f>INDEX('4długot.'!B3:G28,MATCH(19,B4:B29,0),4)</f>
        <v>-17</v>
      </c>
      <c r="G22" s="37">
        <f>INDEX('4długot.'!B3:G28,MATCH(19,B4:B29,0),5)</f>
        <v>1830</v>
      </c>
      <c r="H22" s="6">
        <f>INDEX('4długot.'!B3:G28,MATCH(19,B4:B29,0),6)</f>
        <v>141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2110</v>
      </c>
      <c r="E23" s="37">
        <f>INDEX('4długot.'!B3:G28,MATCH(20,B4:B29,0),3)</f>
        <v>2092</v>
      </c>
      <c r="F23" s="6">
        <f>INDEX('4długot.'!B3:G28,MATCH(20,B4:B29,0),4)</f>
        <v>18</v>
      </c>
      <c r="G23" s="37">
        <f>INDEX('4długot.'!B3:G28,MATCH(20,B4:B29,0),5)</f>
        <v>1922</v>
      </c>
      <c r="H23" s="6">
        <f>INDEX('4długot.'!B3:G28,MATCH(20,B4:B29,0),6)</f>
        <v>188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2333</v>
      </c>
      <c r="E24" s="37">
        <f>INDEX('4długot.'!B3:G28,MATCH(21,B4:B29,0),3)</f>
        <v>2344</v>
      </c>
      <c r="F24" s="6">
        <f>INDEX('4długot.'!B3:G28,MATCH(21,B4:B29,0),4)</f>
        <v>-11</v>
      </c>
      <c r="G24" s="37">
        <f>INDEX('4długot.'!B3:G28,MATCH(21,B4:B29,0),5)</f>
        <v>2280</v>
      </c>
      <c r="H24" s="6">
        <f>INDEX('4długot.'!B3:G28,MATCH(21,B4:B29,0),6)</f>
        <v>53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2740</v>
      </c>
      <c r="E25" s="37">
        <f>INDEX('4długot.'!B3:G28,MATCH(22,B4:B29,0),3)</f>
        <v>2755</v>
      </c>
      <c r="F25" s="6">
        <f>INDEX('4długot.'!B3:G28,MATCH(22,B4:B29,0),4)</f>
        <v>-15</v>
      </c>
      <c r="G25" s="37">
        <f>INDEX('4długot.'!B3:G28,MATCH(22,B4:B29,0),5)</f>
        <v>2438</v>
      </c>
      <c r="H25" s="6">
        <f>INDEX('4długot.'!B3:G28,MATCH(22,B4:B29,0),6)</f>
        <v>302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2756</v>
      </c>
      <c r="E26" s="37">
        <f>INDEX('4długot.'!B3:G28,MATCH(23,B4:B29,0),3)</f>
        <v>2800</v>
      </c>
      <c r="F26" s="6">
        <f>INDEX('4długot.'!B3:G28,MATCH(23,B4:B29,0),4)</f>
        <v>-44</v>
      </c>
      <c r="G26" s="37">
        <f>INDEX('4długot.'!B3:G28,MATCH(23,B4:B29,0),5)</f>
        <v>2540</v>
      </c>
      <c r="H26" s="6">
        <f>INDEX('4długot.'!B3:G28,MATCH(23,B4:B29,0),6)</f>
        <v>216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3049</v>
      </c>
      <c r="E27" s="37">
        <f>INDEX('4długot.'!B3:G28,MATCH(24,B4:B29,0),3)</f>
        <v>3027</v>
      </c>
      <c r="F27" s="6">
        <f>INDEX('4długot.'!B3:G28,MATCH(24,B4:B29,0),4)</f>
        <v>22</v>
      </c>
      <c r="G27" s="37">
        <f>INDEX('4długot.'!B3:G28,MATCH(24,B4:B29,0),5)</f>
        <v>2869</v>
      </c>
      <c r="H27" s="6">
        <f>INDEX('4długot.'!B3:G28,MATCH(24,B4:B29,0),6)</f>
        <v>180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3333</v>
      </c>
      <c r="E28" s="37">
        <f>INDEX('4długot.'!B3:G28,MATCH(25,B4:B29,0),3)</f>
        <v>3344</v>
      </c>
      <c r="F28" s="6">
        <f>INDEX('4długot.'!B3:G28,MATCH(25,B4:B29,0),4)</f>
        <v>-11</v>
      </c>
      <c r="G28" s="37">
        <f>INDEX('4długot.'!B3:G28,MATCH(25,B4:B29,0),5)</f>
        <v>2870</v>
      </c>
      <c r="H28" s="6">
        <f>INDEX('4długot.'!B3:G28,MATCH(25,B4:B29,0),6)</f>
        <v>463</v>
      </c>
    </row>
    <row r="29" spans="2:8" ht="15" x14ac:dyDescent="0.25">
      <c r="B29" s="35">
        <f>RANK('4długot.'!C28,'4długot.'!$C$3:'4długot.'!$C$28,1)+COUNTIF('4długot.'!$C$3:'4długot.'!C28,'4długot.'!C28)-1</f>
        <v>26</v>
      </c>
      <c r="C29" s="34" t="str">
        <f>INDEX('4długot.'!B3:G28,MATCH(26,B4:B29,0),1)</f>
        <v>województwo</v>
      </c>
      <c r="D29" s="35">
        <f>INDEX('4długot.'!B3:G28,MATCH(26,B4:B29,0),2)</f>
        <v>40533</v>
      </c>
      <c r="E29" s="39">
        <f>INDEX('4długot.'!B3:G28,MATCH(26,B4:B29,0),3)</f>
        <v>40688</v>
      </c>
      <c r="F29" s="35">
        <f>INDEX('4długot.'!B3:G28,MATCH(26,B4:B29,0),4)</f>
        <v>-155</v>
      </c>
      <c r="G29" s="39">
        <f>INDEX('4długot.'!B3:G28,MATCH(26,B4:B29,0),5)</f>
        <v>36351</v>
      </c>
      <c r="H29" s="35">
        <f>INDEX('4długot.'!B3:G28,MATCH(26,B4:B29,0),6)</f>
        <v>4182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C3" sqref="C3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70</v>
      </c>
      <c r="C1" s="22"/>
      <c r="D1" s="22"/>
      <c r="E1" s="22"/>
      <c r="F1" s="22"/>
      <c r="G1" s="22"/>
    </row>
    <row r="2" spans="2:8" ht="57.75" x14ac:dyDescent="0.2">
      <c r="B2" s="31" t="s">
        <v>27</v>
      </c>
      <c r="C2" s="32" t="s">
        <v>96</v>
      </c>
      <c r="D2" s="33" t="s">
        <v>98</v>
      </c>
      <c r="E2" s="32" t="s">
        <v>28</v>
      </c>
      <c r="F2" s="33" t="s">
        <v>97</v>
      </c>
      <c r="G2" s="32" t="s">
        <v>26</v>
      </c>
    </row>
    <row r="3" spans="2:8" x14ac:dyDescent="0.2">
      <c r="B3" s="5" t="s">
        <v>0</v>
      </c>
      <c r="C3" s="23">
        <v>255</v>
      </c>
      <c r="D3" s="37">
        <v>264</v>
      </c>
      <c r="E3" s="23">
        <f t="shared" ref="E3:E27" si="0">SUM(C3)-D3</f>
        <v>-9</v>
      </c>
      <c r="F3" s="37">
        <v>249</v>
      </c>
      <c r="G3" s="23">
        <f t="shared" ref="G3:G27" si="1">SUM(C3)-F3</f>
        <v>6</v>
      </c>
      <c r="H3" s="7"/>
    </row>
    <row r="4" spans="2:8" x14ac:dyDescent="0.2">
      <c r="B4" s="5" t="s">
        <v>1</v>
      </c>
      <c r="C4" s="23">
        <v>920</v>
      </c>
      <c r="D4" s="37">
        <v>953</v>
      </c>
      <c r="E4" s="23">
        <f t="shared" si="0"/>
        <v>-33</v>
      </c>
      <c r="F4" s="37">
        <v>924</v>
      </c>
      <c r="G4" s="23">
        <f t="shared" si="1"/>
        <v>-4</v>
      </c>
      <c r="H4" s="7"/>
    </row>
    <row r="5" spans="2:8" x14ac:dyDescent="0.2">
      <c r="B5" s="5" t="s">
        <v>2</v>
      </c>
      <c r="C5" s="23">
        <v>874</v>
      </c>
      <c r="D5" s="37">
        <v>898</v>
      </c>
      <c r="E5" s="23">
        <f t="shared" si="0"/>
        <v>-24</v>
      </c>
      <c r="F5" s="37">
        <v>656</v>
      </c>
      <c r="G5" s="23">
        <f t="shared" si="1"/>
        <v>218</v>
      </c>
      <c r="H5" s="7"/>
    </row>
    <row r="6" spans="2:8" x14ac:dyDescent="0.2">
      <c r="B6" s="5" t="s">
        <v>3</v>
      </c>
      <c r="C6" s="23">
        <v>1160</v>
      </c>
      <c r="D6" s="37">
        <v>1235</v>
      </c>
      <c r="E6" s="23">
        <f t="shared" si="0"/>
        <v>-75</v>
      </c>
      <c r="F6" s="37">
        <v>1103</v>
      </c>
      <c r="G6" s="23">
        <f t="shared" si="1"/>
        <v>57</v>
      </c>
      <c r="H6" s="7"/>
    </row>
    <row r="7" spans="2:8" x14ac:dyDescent="0.2">
      <c r="B7" s="5" t="s">
        <v>4</v>
      </c>
      <c r="C7" s="23">
        <v>1365</v>
      </c>
      <c r="D7" s="37">
        <v>1399</v>
      </c>
      <c r="E7" s="23">
        <f t="shared" si="0"/>
        <v>-34</v>
      </c>
      <c r="F7" s="37">
        <v>1150</v>
      </c>
      <c r="G7" s="23">
        <f t="shared" si="1"/>
        <v>215</v>
      </c>
      <c r="H7" s="7"/>
    </row>
    <row r="8" spans="2:8" x14ac:dyDescent="0.2">
      <c r="B8" s="5" t="s">
        <v>5</v>
      </c>
      <c r="C8" s="23">
        <v>486</v>
      </c>
      <c r="D8" s="37">
        <v>490</v>
      </c>
      <c r="E8" s="23">
        <f t="shared" si="0"/>
        <v>-4</v>
      </c>
      <c r="F8" s="37">
        <v>388</v>
      </c>
      <c r="G8" s="23">
        <f t="shared" si="1"/>
        <v>98</v>
      </c>
      <c r="H8" s="7"/>
    </row>
    <row r="9" spans="2:8" x14ac:dyDescent="0.2">
      <c r="B9" s="9" t="s">
        <v>6</v>
      </c>
      <c r="C9" s="23">
        <v>640</v>
      </c>
      <c r="D9" s="37">
        <v>644</v>
      </c>
      <c r="E9" s="23">
        <f t="shared" si="0"/>
        <v>-4</v>
      </c>
      <c r="F9" s="37">
        <v>580</v>
      </c>
      <c r="G9" s="23">
        <f t="shared" si="1"/>
        <v>60</v>
      </c>
      <c r="H9" s="7"/>
    </row>
    <row r="10" spans="2:8" x14ac:dyDescent="0.2">
      <c r="B10" s="5" t="s">
        <v>7</v>
      </c>
      <c r="C10" s="23">
        <v>364</v>
      </c>
      <c r="D10" s="37">
        <v>406</v>
      </c>
      <c r="E10" s="23">
        <f t="shared" si="0"/>
        <v>-42</v>
      </c>
      <c r="F10" s="37">
        <v>389</v>
      </c>
      <c r="G10" s="23">
        <f t="shared" si="1"/>
        <v>-25</v>
      </c>
      <c r="H10" s="7"/>
    </row>
    <row r="11" spans="2:8" x14ac:dyDescent="0.2">
      <c r="B11" s="5" t="s">
        <v>8</v>
      </c>
      <c r="C11" s="23">
        <v>771</v>
      </c>
      <c r="D11" s="37">
        <v>820</v>
      </c>
      <c r="E11" s="23">
        <f t="shared" si="0"/>
        <v>-49</v>
      </c>
      <c r="F11" s="37">
        <v>757</v>
      </c>
      <c r="G11" s="23">
        <f t="shared" si="1"/>
        <v>14</v>
      </c>
      <c r="H11" s="7"/>
    </row>
    <row r="12" spans="2:8" x14ac:dyDescent="0.2">
      <c r="B12" s="5" t="s">
        <v>9</v>
      </c>
      <c r="C12" s="23">
        <v>455</v>
      </c>
      <c r="D12" s="37">
        <v>470</v>
      </c>
      <c r="E12" s="23">
        <f t="shared" si="0"/>
        <v>-15</v>
      </c>
      <c r="F12" s="37">
        <v>415</v>
      </c>
      <c r="G12" s="23">
        <f t="shared" si="1"/>
        <v>40</v>
      </c>
      <c r="H12" s="7"/>
    </row>
    <row r="13" spans="2:8" x14ac:dyDescent="0.2">
      <c r="B13" s="5" t="s">
        <v>10</v>
      </c>
      <c r="C13" s="23">
        <v>786</v>
      </c>
      <c r="D13" s="37">
        <v>793</v>
      </c>
      <c r="E13" s="23">
        <f t="shared" si="0"/>
        <v>-7</v>
      </c>
      <c r="F13" s="37">
        <v>689</v>
      </c>
      <c r="G13" s="23">
        <f t="shared" si="1"/>
        <v>97</v>
      </c>
      <c r="H13" s="7"/>
    </row>
    <row r="14" spans="2:8" x14ac:dyDescent="0.2">
      <c r="B14" s="5" t="s">
        <v>11</v>
      </c>
      <c r="C14" s="23">
        <v>898</v>
      </c>
      <c r="D14" s="37">
        <v>921</v>
      </c>
      <c r="E14" s="23">
        <f t="shared" si="0"/>
        <v>-23</v>
      </c>
      <c r="F14" s="37">
        <v>762</v>
      </c>
      <c r="G14" s="23">
        <f t="shared" si="1"/>
        <v>136</v>
      </c>
      <c r="H14" s="7"/>
    </row>
    <row r="15" spans="2:8" x14ac:dyDescent="0.2">
      <c r="B15" s="5" t="s">
        <v>12</v>
      </c>
      <c r="C15" s="23">
        <v>794</v>
      </c>
      <c r="D15" s="37">
        <v>844</v>
      </c>
      <c r="E15" s="23">
        <f t="shared" si="0"/>
        <v>-50</v>
      </c>
      <c r="F15" s="37">
        <v>714</v>
      </c>
      <c r="G15" s="23">
        <f t="shared" si="1"/>
        <v>80</v>
      </c>
      <c r="H15" s="7"/>
    </row>
    <row r="16" spans="2:8" x14ac:dyDescent="0.2">
      <c r="B16" s="5" t="s">
        <v>13</v>
      </c>
      <c r="C16" s="23">
        <v>812</v>
      </c>
      <c r="D16" s="37">
        <v>854</v>
      </c>
      <c r="E16" s="23">
        <f t="shared" si="0"/>
        <v>-42</v>
      </c>
      <c r="F16" s="37">
        <v>737</v>
      </c>
      <c r="G16" s="23">
        <f t="shared" si="1"/>
        <v>75</v>
      </c>
      <c r="H16" s="7"/>
    </row>
    <row r="17" spans="2:8" x14ac:dyDescent="0.2">
      <c r="B17" s="5" t="s">
        <v>14</v>
      </c>
      <c r="C17" s="23">
        <v>927</v>
      </c>
      <c r="D17" s="37">
        <v>947</v>
      </c>
      <c r="E17" s="23">
        <f t="shared" si="0"/>
        <v>-20</v>
      </c>
      <c r="F17" s="37">
        <v>868</v>
      </c>
      <c r="G17" s="23">
        <f t="shared" si="1"/>
        <v>59</v>
      </c>
      <c r="H17" s="7"/>
    </row>
    <row r="18" spans="2:8" x14ac:dyDescent="0.2">
      <c r="B18" s="5" t="s">
        <v>15</v>
      </c>
      <c r="C18" s="23">
        <v>862</v>
      </c>
      <c r="D18" s="37">
        <v>880</v>
      </c>
      <c r="E18" s="23">
        <f t="shared" si="0"/>
        <v>-18</v>
      </c>
      <c r="F18" s="37">
        <v>808</v>
      </c>
      <c r="G18" s="23">
        <f t="shared" si="1"/>
        <v>54</v>
      </c>
      <c r="H18" s="7"/>
    </row>
    <row r="19" spans="2:8" x14ac:dyDescent="0.2">
      <c r="B19" s="5" t="s">
        <v>16</v>
      </c>
      <c r="C19" s="23">
        <v>1215</v>
      </c>
      <c r="D19" s="37">
        <v>1272</v>
      </c>
      <c r="E19" s="23">
        <f t="shared" si="0"/>
        <v>-57</v>
      </c>
      <c r="F19" s="37">
        <v>1216</v>
      </c>
      <c r="G19" s="23">
        <f t="shared" si="1"/>
        <v>-1</v>
      </c>
      <c r="H19" s="7"/>
    </row>
    <row r="20" spans="2:8" x14ac:dyDescent="0.2">
      <c r="B20" s="5" t="s">
        <v>17</v>
      </c>
      <c r="C20" s="23">
        <v>799</v>
      </c>
      <c r="D20" s="37">
        <v>842</v>
      </c>
      <c r="E20" s="23">
        <f t="shared" si="0"/>
        <v>-43</v>
      </c>
      <c r="F20" s="37">
        <v>743</v>
      </c>
      <c r="G20" s="23">
        <f t="shared" si="1"/>
        <v>56</v>
      </c>
      <c r="H20" s="7"/>
    </row>
    <row r="21" spans="2:8" x14ac:dyDescent="0.2">
      <c r="B21" s="5" t="s">
        <v>18</v>
      </c>
      <c r="C21" s="23">
        <v>612</v>
      </c>
      <c r="D21" s="37">
        <v>665</v>
      </c>
      <c r="E21" s="23">
        <f t="shared" si="0"/>
        <v>-53</v>
      </c>
      <c r="F21" s="37">
        <v>565</v>
      </c>
      <c r="G21" s="23">
        <f t="shared" si="1"/>
        <v>47</v>
      </c>
      <c r="H21" s="7"/>
    </row>
    <row r="22" spans="2:8" x14ac:dyDescent="0.2">
      <c r="B22" s="5" t="s">
        <v>19</v>
      </c>
      <c r="C22" s="23">
        <v>776</v>
      </c>
      <c r="D22" s="37">
        <v>798</v>
      </c>
      <c r="E22" s="23">
        <f t="shared" si="0"/>
        <v>-22</v>
      </c>
      <c r="F22" s="37">
        <v>748</v>
      </c>
      <c r="G22" s="23">
        <f t="shared" si="1"/>
        <v>28</v>
      </c>
      <c r="H22" s="7"/>
    </row>
    <row r="23" spans="2:8" x14ac:dyDescent="0.2">
      <c r="B23" s="5" t="s">
        <v>20</v>
      </c>
      <c r="C23" s="23">
        <v>368</v>
      </c>
      <c r="D23" s="37">
        <v>370</v>
      </c>
      <c r="E23" s="23">
        <f t="shared" si="0"/>
        <v>-2</v>
      </c>
      <c r="F23" s="37">
        <v>314</v>
      </c>
      <c r="G23" s="23">
        <f t="shared" si="1"/>
        <v>54</v>
      </c>
      <c r="H23" s="7"/>
    </row>
    <row r="24" spans="2:8" x14ac:dyDescent="0.2">
      <c r="B24" s="5" t="s">
        <v>21</v>
      </c>
      <c r="C24" s="23">
        <v>197</v>
      </c>
      <c r="D24" s="37">
        <v>209</v>
      </c>
      <c r="E24" s="23">
        <f t="shared" si="0"/>
        <v>-12</v>
      </c>
      <c r="F24" s="37">
        <v>185</v>
      </c>
      <c r="G24" s="23">
        <f t="shared" si="1"/>
        <v>12</v>
      </c>
      <c r="H24" s="7"/>
    </row>
    <row r="25" spans="2:8" x14ac:dyDescent="0.2">
      <c r="B25" s="5" t="s">
        <v>22</v>
      </c>
      <c r="C25" s="23">
        <v>505</v>
      </c>
      <c r="D25" s="37">
        <v>517</v>
      </c>
      <c r="E25" s="23">
        <f t="shared" si="0"/>
        <v>-12</v>
      </c>
      <c r="F25" s="37">
        <v>456</v>
      </c>
      <c r="G25" s="23">
        <f t="shared" si="1"/>
        <v>49</v>
      </c>
      <c r="H25" s="7"/>
    </row>
    <row r="26" spans="2:8" x14ac:dyDescent="0.2">
      <c r="B26" s="5" t="s">
        <v>23</v>
      </c>
      <c r="C26" s="23">
        <v>1129</v>
      </c>
      <c r="D26" s="37">
        <v>1178</v>
      </c>
      <c r="E26" s="23">
        <f t="shared" si="0"/>
        <v>-49</v>
      </c>
      <c r="F26" s="37">
        <v>953</v>
      </c>
      <c r="G26" s="23">
        <f t="shared" si="1"/>
        <v>176</v>
      </c>
      <c r="H26" s="7"/>
    </row>
    <row r="27" spans="2:8" x14ac:dyDescent="0.2">
      <c r="B27" s="5" t="s">
        <v>24</v>
      </c>
      <c r="C27" s="23">
        <v>258</v>
      </c>
      <c r="D27" s="37">
        <v>269</v>
      </c>
      <c r="E27" s="23">
        <f t="shared" si="0"/>
        <v>-11</v>
      </c>
      <c r="F27" s="37">
        <v>203</v>
      </c>
      <c r="G27" s="23">
        <f t="shared" si="1"/>
        <v>55</v>
      </c>
      <c r="H27" s="7"/>
    </row>
    <row r="28" spans="2:8" ht="15" x14ac:dyDescent="0.25">
      <c r="B28" s="34" t="s">
        <v>25</v>
      </c>
      <c r="C28" s="43">
        <f>SUM(C3:C27)</f>
        <v>18228</v>
      </c>
      <c r="D28" s="39">
        <f>SUM(D3:D27)</f>
        <v>18938</v>
      </c>
      <c r="E28" s="43">
        <f>SUM(E3:E27)</f>
        <v>-710</v>
      </c>
      <c r="F28" s="39">
        <f>SUM(F3:F27)</f>
        <v>16572</v>
      </c>
      <c r="G28" s="43">
        <f>SUM(G3:G27)</f>
        <v>1656</v>
      </c>
      <c r="H28" s="7"/>
    </row>
    <row r="29" spans="2:8" x14ac:dyDescent="0.2">
      <c r="C29" s="14"/>
      <c r="E29" s="14"/>
      <c r="F29" s="14"/>
      <c r="G29" s="7"/>
    </row>
    <row r="30" spans="2:8" x14ac:dyDescent="0.2">
      <c r="C30" s="14"/>
    </row>
    <row r="31" spans="2:8" x14ac:dyDescent="0.2">
      <c r="C31" s="14"/>
    </row>
    <row r="32" spans="2:8" x14ac:dyDescent="0.2">
      <c r="C32" s="1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2026-04-16T05:44:06Z</cp:lastPrinted>
  <dcterms:created xsi:type="dcterms:W3CDTF">2016-08-02T05:46:03Z</dcterms:created>
  <dcterms:modified xsi:type="dcterms:W3CDTF">2026-06-17T09:07:48Z</dcterms:modified>
</cp:coreProperties>
</file>